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D9hYL3GCi6i4StDAhS5CRzeL2L8eF1eZnY056Q7OwmrRt3C1CwNBfnTb0g9qegd20TWlZGJnblFs1ZjLF3De9w==" workbookSaltValue="1t4Mh5Hg/SUFO2jtYJ2g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X32" i="20"/>
  <c r="L32" i="20"/>
  <c r="H32" i="20"/>
  <c r="F32" i="20"/>
  <c r="G26" i="14"/>
  <c r="S32" i="20"/>
  <c r="O17" i="11"/>
  <c r="AJ32" i="20"/>
  <c r="G30" i="14"/>
  <c r="G23" i="14"/>
  <c r="U18" i="11"/>
  <c r="Y32" i="20"/>
  <c r="AG32" i="20"/>
  <c r="T32" i="21"/>
  <c r="AF32" i="20"/>
  <c r="K32" i="20"/>
  <c r="AQ32" i="21"/>
  <c r="F28" i="2" l="1"/>
  <c r="E23" i="12"/>
  <c r="BF17" i="8"/>
  <c r="F16" i="11"/>
  <c r="AQ16" i="11" s="1"/>
  <c r="P13" i="14"/>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Q13" i="11" s="1"/>
  <c r="BH18" i="11"/>
  <c r="BM16" i="11"/>
  <c r="AO28" i="17"/>
  <c r="BJ25" i="11"/>
  <c r="AZ16" i="11"/>
  <c r="AZ23"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X22" i="16"/>
  <c r="L12" i="2"/>
  <c r="X10" i="21"/>
  <c r="V10" i="16"/>
  <c r="X13"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J17" i="11"/>
  <c r="BK22" i="11"/>
  <c r="BL17" i="11"/>
  <c r="BL23" i="11" s="1"/>
  <c r="BH22" i="11"/>
  <c r="X12" i="17"/>
  <c r="L22" i="2"/>
  <c r="S16" i="17"/>
  <c r="S17" i="17"/>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<sst xmlns="http://schemas.openxmlformats.org/spreadsheetml/2006/main" count="2682" uniqueCount="1193">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</sst>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giecYGx9eWiM/fClV2dNrCwjFtnrrPFKEMGcsNFKpXxbotD+FN5Qqc0gPL7VBhHQO9KH6GAcuMU5XA2G+u3gw==" saltValue="2jTuxF2/Z7bz7wDVy0XG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260</v>
      </c>
      <c r="D10" s="239">
        <f>IF(ISNUMBER(Datos!I10),Datos!I10," - ")</f>
        <v>277</v>
      </c>
      <c r="E10" s="240">
        <f>IF(ISNUMBER(Datos!J10),Datos!J10," - ")</f>
        <v>37</v>
      </c>
      <c r="F10" s="240">
        <f>IF(ISNUMBER(Datos!K10),Datos!K10," - ")</f>
        <v>40</v>
      </c>
      <c r="G10" s="1390" t="str">
        <f>IF(Datos!E10&lt;&gt;"",Datos!E10,Datos!D10)</f>
        <v>37</v>
      </c>
      <c r="H10" s="241">
        <f>IF(ISNUMBER(Datos!L10),Datos!L10," - ")</f>
        <v>257</v>
      </c>
      <c r="I10" s="1400" t="str">
        <f>IF(ISNUMBER(Datos!AS10/Datos!BM10),Datos!AS10/Datos!BM10," - ")</f>
        <v xml:space="preserve"> - </v>
      </c>
      <c r="J10" s="1401">
        <f>IF(ISNUMBER(Datos!BY10/Datos!CN10),Datos!BY10/Datos!CN10," - ")</f>
        <v>0</v>
      </c>
      <c r="K10" s="244">
        <f t="shared" ref="K10:K13" si="1">IF(ISNUMBER((E10-F10)/C10),(E10-F10)/C10," - ")</f>
        <v>-1.1538461538461539E-2</v>
      </c>
      <c r="L10" s="1402">
        <f>IF(ISNUMBER(NºAsuntos!I10/NºAsuntos!G10),(NºAsuntos!I10/NºAsuntos!G10)*11," - ")</f>
        <v>70.674999999999997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65.680628272251312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260</v>
      </c>
      <c r="D14" s="1407">
        <f>SUBTOTAL(9,D9:D13)</f>
        <v>277</v>
      </c>
      <c r="E14" s="1408">
        <f>SUBTOTAL(9,E9:E13)</f>
        <v>37</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5315</v>
      </c>
      <c r="D17" s="239">
        <f>IF(ISNUMBER(IF(D_I="SI",Datos!I17,Datos!I17+Datos!AC17)),IF(D_I="SI",Datos!I17,Datos!I17+Datos!AC17)," - ")</f>
        <v>5623</v>
      </c>
      <c r="E17" s="240">
        <f>IF(ISNUMBER(IF(D_I="SI",Datos!J17,Datos!J17+Datos!AD17)),IF(D_I="SI",Datos!J17,Datos!J17+Datos!AD17)," - ")</f>
        <v>1760</v>
      </c>
      <c r="F17" s="240">
        <f>IF(ISNUMBER(IF(D_I="SI",Datos!K17,Datos!K17+Datos!AE17)),IF(D_I="SI",Datos!K17,Datos!K17+Datos!AE17)," - ")</f>
        <v>1396</v>
      </c>
      <c r="G17" s="1390" t="str">
        <f>IF(Datos!E17&lt;&gt;"",Datos!E17,Datos!D17)</f>
        <v>04</v>
      </c>
      <c r="H17" s="241">
        <f>IF(ISNUMBER(IF(D_I="SI",Datos!L17,Datos!L17+Datos!AF17)),IF(D_I="SI",Datos!L17,Datos!L17+Datos!AF17)," - ")</f>
        <v>5679</v>
      </c>
      <c r="I17" s="1400" t="str">
        <f>IF(ISNUMBER(Datos!AS17/Datos!BM17),Datos!AS17/Datos!BM17," - ")</f>
        <v xml:space="preserve"> - </v>
      </c>
      <c r="J17" s="1401">
        <f>IF(ISNUMBER(Datos!BY17/Datos!CN17),Datos!BY17/Datos!CN17," - ")</f>
        <v>0</v>
      </c>
      <c r="K17" s="244">
        <f t="shared" si="3"/>
        <v>6.8485418626528696E-2</v>
      </c>
      <c r="L17" s="1402">
        <f>IF(ISNUMBER(NºAsuntos!I17/NºAsuntos!G17),(NºAsuntos!I17/NºAsuntos!G17)*11," - ")</f>
        <v>44.74856733524355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659</v>
      </c>
      <c r="D18" s="239">
        <f>IF(ISNUMBER(IF(D_I="SI",Datos!I18,Datos!I18+Datos!AC18)),IF(D_I="SI",Datos!I18,Datos!I18+Datos!AC18)," - ")</f>
        <v>659</v>
      </c>
      <c r="E18" s="240">
        <f>IF(ISNUMBER(IF(D_I="SI",Datos!J18,Datos!J18+Datos!AD18)),IF(D_I="SI",Datos!J18,Datos!J18+Datos!AD18)," - ")</f>
        <v>232</v>
      </c>
      <c r="F18" s="240">
        <f>IF(ISNUMBER(IF(D_I="SI",Datos!K18,Datos!K18+Datos!AE18)),IF(D_I="SI",Datos!K18,Datos!K18+Datos!AE18)," - ")</f>
        <v>179</v>
      </c>
      <c r="G18" s="1390" t="str">
        <f>IF(Datos!E18&lt;&gt;"",Datos!E18,Datos!D18)</f>
        <v>37</v>
      </c>
      <c r="H18" s="241">
        <f>IF(ISNUMBER(IF(D_I="SI",Datos!L18,Datos!L18+Datos!AF18)),IF(D_I="SI",Datos!L18,Datos!L18+Datos!AF18)," - ")</f>
        <v>712</v>
      </c>
      <c r="I18" s="1400" t="str">
        <f>IF(ISNUMBER(Datos!AS18/Datos!BM18),Datos!AS18/Datos!BM18," - ")</f>
        <v xml:space="preserve"> - </v>
      </c>
      <c r="J18" s="1401" t="str">
        <f>IF(ISNUMBER((Datos!BY18+Datos!BZ18)/Datos!CN18),(Datos!BY18+Datos!BZ18)/Datos!CN18," - ")</f>
        <v xml:space="preserve"> - </v>
      </c>
      <c r="K18" s="244">
        <f t="shared" si="3"/>
        <v>8.042488619119878E-2</v>
      </c>
      <c r="L18" s="1402">
        <f>IF(ISNUMBER(NºAsuntos!I18/NºAsuntos!G18),(NºAsuntos!I18/NºAsuntos!G18)*11," - ")</f>
        <v>43.754189944134076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5974</v>
      </c>
      <c r="D23" s="1407">
        <f>SUBTOTAL(9,D16:D22)</f>
        <v>6282</v>
      </c>
      <c r="E23" s="1408">
        <f>SUBTOTAL(9,E16:E22)</f>
        <v>1992</v>
      </c>
      <c r="F23" s="1408">
        <f>SUBTOTAL(9,F16:F22)</f>
        <v>1575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6234</v>
      </c>
      <c r="D31" s="1435">
        <f>SUBTOTAL(9,D9:D30)</f>
        <v>6559</v>
      </c>
      <c r="E31" s="1436">
        <f>SUBTOTAL(9,E9:E30)</f>
        <v>2029</v>
      </c>
      <c r="F31" s="1436">
        <f>SUBTOTAL(9,F9:F30)</f>
        <v>1615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pyCywQkOYySWn3ds32b+MrBOypEyVV5LRgEJMfr44P0cd+3vwpbptz7BSerg2XA6T9AzKnvbnA5SF06gVUzPw==" saltValue="J8FsjXXaIzBcLdhQLNgr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TcR+Gd36Ipf/uE5AxPCVEQJeG91bxDOVLCvTdA2GWkBB6EvNfUGW2FTv2JLVf2kw6N1VMHImrme2zBfElTXyA==" saltValue="PRHOAgE5txDY7WlTeRYR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277</v>
      </c>
      <c r="J10" s="194">
        <v>37</v>
      </c>
      <c r="K10" s="194">
        <v>40</v>
      </c>
      <c r="L10" s="194">
        <v>257</v>
      </c>
      <c r="M10" s="194">
        <v>26</v>
      </c>
      <c r="N10" s="194">
        <v>7</v>
      </c>
      <c r="O10" s="194">
        <v>11</v>
      </c>
      <c r="P10" s="194">
        <v>11</v>
      </c>
      <c r="Q10" s="194">
        <v>6</v>
      </c>
      <c r="R10" s="194">
        <v>197</v>
      </c>
      <c r="S10" s="194">
        <v>213</v>
      </c>
      <c r="T10" s="194">
        <v>64</v>
      </c>
      <c r="U10" s="194">
        <v>44</v>
      </c>
      <c r="V10" s="194">
        <v>233</v>
      </c>
      <c r="W10" s="194">
        <v>26</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213</v>
      </c>
      <c r="AZ10" s="139">
        <f t="shared" si="0"/>
        <v>64</v>
      </c>
      <c r="BA10" s="139">
        <f t="shared" si="0"/>
        <v>44</v>
      </c>
      <c r="BB10" s="139">
        <f t="shared" si="0"/>
        <v>233</v>
      </c>
      <c r="BC10" s="135">
        <f t="shared" si="0"/>
        <v>26</v>
      </c>
      <c r="BD10" s="136">
        <f>IF(ISNUMBER(BA10/AZ10),BA10/AZ10," - ")</f>
        <v>0.6875</v>
      </c>
      <c r="BE10" s="137">
        <f>IF(ISNUMBER(BB10/BA10),BB10/BA10, " - ")</f>
        <v>5.2954545454545459</v>
      </c>
      <c r="BF10" s="137">
        <f>IF(ISNUMBER(BC10/BA10),BC10/BA10, " - ")</f>
        <v>0.59090909090909094</v>
      </c>
      <c r="BG10" s="209">
        <f>IF(ISNUMBER((AY10+AZ10)/BA10),(AY10+AZ10)/BA10," - ")</f>
        <v>6.2954545454545459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11735</v>
      </c>
      <c r="J12" s="196">
        <v>2459</v>
      </c>
      <c r="K12" s="196">
        <v>1972</v>
      </c>
      <c r="L12" s="196">
        <v>12222</v>
      </c>
      <c r="M12" s="196">
        <v>352</v>
      </c>
      <c r="N12" s="196">
        <v>661</v>
      </c>
      <c r="O12" s="194">
        <v>887</v>
      </c>
      <c r="P12" s="196">
        <v>520</v>
      </c>
      <c r="Q12" s="196">
        <v>242</v>
      </c>
      <c r="R12" s="196">
        <v>15974</v>
      </c>
      <c r="S12" s="196">
        <v>7948</v>
      </c>
      <c r="T12" s="196">
        <v>2254</v>
      </c>
      <c r="U12" s="196">
        <v>1694</v>
      </c>
      <c r="V12" s="196">
        <v>8527</v>
      </c>
      <c r="W12" s="196">
        <v>348</v>
      </c>
      <c r="X12" s="202">
        <v>698</v>
      </c>
      <c r="Y12" s="204">
        <v>331</v>
      </c>
      <c r="Z12" s="194">
        <v>121</v>
      </c>
      <c r="AA12" s="194">
        <v>129</v>
      </c>
      <c r="AB12" s="194">
        <v>323</v>
      </c>
      <c r="AC12" s="196">
        <v>0</v>
      </c>
      <c r="AD12" s="196">
        <v>0</v>
      </c>
      <c r="AE12" s="196">
        <v>0</v>
      </c>
      <c r="AF12" s="202">
        <v>0</v>
      </c>
      <c r="AG12" s="215">
        <v>221</v>
      </c>
      <c r="AH12" s="196">
        <v>184</v>
      </c>
      <c r="AI12" s="196">
        <v>112</v>
      </c>
      <c r="AJ12" s="216">
        <v>293</v>
      </c>
      <c r="AK12" s="195">
        <v>0</v>
      </c>
      <c r="AL12" s="196">
        <v>0</v>
      </c>
      <c r="AM12" s="196">
        <v>0</v>
      </c>
      <c r="AN12" s="202">
        <v>0</v>
      </c>
      <c r="AO12" s="283">
        <v>7</v>
      </c>
      <c r="AP12" s="168">
        <v>7</v>
      </c>
      <c r="AQ12" s="168">
        <v>7</v>
      </c>
      <c r="AR12" s="167">
        <v>7</v>
      </c>
      <c r="AS12" s="381" t="s">
        <v>1075</v>
      </c>
      <c r="AT12" s="216"/>
      <c r="AU12" s="215"/>
      <c r="AV12" s="216"/>
      <c r="AW12" s="215"/>
      <c r="AX12" s="216"/>
      <c r="AY12" s="136">
        <f t="shared" si="1"/>
        <v>8169</v>
      </c>
      <c r="AZ12" s="137">
        <f t="shared" si="1"/>
        <v>2438</v>
      </c>
      <c r="BA12" s="137">
        <f t="shared" si="1"/>
        <v>1806</v>
      </c>
      <c r="BB12" s="137">
        <f t="shared" si="1"/>
        <v>8820</v>
      </c>
      <c r="BC12" s="135">
        <f>IF(ISNUMBER(X12),X12," - ")</f>
        <v>698</v>
      </c>
      <c r="BD12" s="136">
        <f t="shared" si="2"/>
        <v>0.74077112387202626</v>
      </c>
      <c r="BE12" s="137">
        <f t="shared" si="3"/>
        <v>4.8837209302325579</v>
      </c>
      <c r="BF12" s="137">
        <f t="shared" si="4"/>
        <v>0.38648947951273532</v>
      </c>
      <c r="BG12" s="209">
        <f t="shared" si="5"/>
        <v>5.8732004429678852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12012</v>
      </c>
      <c r="J14" s="197">
        <f t="shared" si="7"/>
        <v>2496</v>
      </c>
      <c r="K14" s="197">
        <f t="shared" si="7"/>
        <v>2012</v>
      </c>
      <c r="L14" s="197">
        <f t="shared" si="7"/>
        <v>12479</v>
      </c>
      <c r="M14" s="197">
        <f t="shared" si="7"/>
        <v>378</v>
      </c>
      <c r="N14" s="197">
        <f t="shared" si="7"/>
        <v>668</v>
      </c>
      <c r="O14" s="197">
        <f t="shared" si="7"/>
        <v>898</v>
      </c>
      <c r="P14" s="197">
        <f t="shared" si="7"/>
        <v>531</v>
      </c>
      <c r="Q14" s="197">
        <f t="shared" si="7"/>
        <v>248</v>
      </c>
      <c r="R14" s="197">
        <f t="shared" si="7"/>
        <v>16171</v>
      </c>
      <c r="S14" s="197">
        <f t="shared" si="7"/>
        <v>8161</v>
      </c>
      <c r="T14" s="197">
        <f t="shared" si="7"/>
        <v>2318</v>
      </c>
      <c r="U14" s="197">
        <f t="shared" si="7"/>
        <v>1738</v>
      </c>
      <c r="V14" s="197">
        <f t="shared" si="7"/>
        <v>8760</v>
      </c>
      <c r="W14" s="197">
        <f t="shared" si="7"/>
        <v>374</v>
      </c>
      <c r="X14" s="197">
        <f t="shared" si="7"/>
        <v>708</v>
      </c>
      <c r="Y14" s="197">
        <f t="shared" si="7"/>
        <v>331</v>
      </c>
      <c r="Z14" s="197">
        <f t="shared" si="7"/>
        <v>121</v>
      </c>
      <c r="AA14" s="197">
        <f t="shared" si="7"/>
        <v>129</v>
      </c>
      <c r="AB14" s="197">
        <f t="shared" si="7"/>
        <v>323</v>
      </c>
      <c r="AC14" s="197">
        <f t="shared" si="7"/>
        <v>0</v>
      </c>
      <c r="AD14" s="197">
        <f t="shared" si="7"/>
        <v>0</v>
      </c>
      <c r="AE14" s="197">
        <f t="shared" si="7"/>
        <v>0</v>
      </c>
      <c r="AF14" s="197">
        <f>SUBTOTAL(9,AF9:AF13)</f>
        <v>0</v>
      </c>
      <c r="AG14" s="197">
        <f t="shared" ref="AG14:AT14" si="8">SUBTOTAL(9,AG8:AG13)</f>
        <v>221</v>
      </c>
      <c r="AH14" s="197">
        <f t="shared" si="8"/>
        <v>184</v>
      </c>
      <c r="AI14" s="197">
        <f t="shared" si="8"/>
        <v>112</v>
      </c>
      <c r="AJ14" s="197">
        <f t="shared" si="8"/>
        <v>293</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8382</v>
      </c>
      <c r="AZ14" s="197">
        <f>SUBTOTAL(9,AZ8:AZ13)</f>
        <v>2502</v>
      </c>
      <c r="BA14" s="197">
        <f>SUBTOTAL(9,BA8:BA13)</f>
        <v>1850</v>
      </c>
      <c r="BB14" s="197">
        <f>SUBTOTAL(9,BB8:BB13)</f>
        <v>9053</v>
      </c>
      <c r="BC14" s="197">
        <f>SUBTOTAL(9,BC8:BC13)</f>
        <v>724</v>
      </c>
      <c r="BD14" s="219">
        <f>IF(ISNUMBER(BA14/AZ14),BA14/AZ14," - ")</f>
        <v>0.73940847322142289</v>
      </c>
      <c r="BE14" s="220">
        <f>IF(ISNUMBER(BB14/BA14),BB14/BA14, " - ")</f>
        <v>4.8935135135135139</v>
      </c>
      <c r="BF14" s="220">
        <f>IF(ISNUMBER(BC14/BA14),BC14/BA14, " - ")</f>
        <v>0.39135135135135135</v>
      </c>
      <c r="BG14" s="221">
        <f>IF(ISNUMBER((AY14+AZ14)/BA14),(AY14+AZ14)/BA14," - ")</f>
        <v>5.8832432432432435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5623</v>
      </c>
      <c r="J17" s="196">
        <v>1760</v>
      </c>
      <c r="K17" s="196">
        <v>1396</v>
      </c>
      <c r="L17" s="196">
        <v>5679</v>
      </c>
      <c r="M17" s="196">
        <v>219</v>
      </c>
      <c r="N17" s="196">
        <v>909</v>
      </c>
      <c r="O17" s="194">
        <v>0</v>
      </c>
      <c r="P17" s="196">
        <v>8</v>
      </c>
      <c r="Q17" s="196">
        <v>5</v>
      </c>
      <c r="R17" s="196">
        <v>345</v>
      </c>
      <c r="S17" s="196">
        <v>4578</v>
      </c>
      <c r="T17" s="196">
        <v>1989</v>
      </c>
      <c r="U17" s="196">
        <v>1732</v>
      </c>
      <c r="V17" s="196">
        <v>4825</v>
      </c>
      <c r="W17" s="196">
        <v>217</v>
      </c>
      <c r="X17" s="202">
        <v>1117</v>
      </c>
      <c r="Y17" s="215">
        <v>0</v>
      </c>
      <c r="Z17" s="196">
        <v>0</v>
      </c>
      <c r="AA17" s="196">
        <v>0</v>
      </c>
      <c r="AB17" s="196">
        <v>0</v>
      </c>
      <c r="AC17" s="196">
        <v>24</v>
      </c>
      <c r="AD17" s="196">
        <v>27</v>
      </c>
      <c r="AE17" s="196">
        <v>21</v>
      </c>
      <c r="AF17" s="202">
        <v>17</v>
      </c>
      <c r="AG17" s="215">
        <v>0</v>
      </c>
      <c r="AH17" s="196">
        <v>0</v>
      </c>
      <c r="AI17" s="196">
        <v>0</v>
      </c>
      <c r="AJ17" s="216">
        <v>0</v>
      </c>
      <c r="AK17" s="195">
        <v>9</v>
      </c>
      <c r="AL17" s="196">
        <v>16</v>
      </c>
      <c r="AM17" s="196">
        <v>2</v>
      </c>
      <c r="AN17" s="202">
        <v>23</v>
      </c>
      <c r="AO17" s="283">
        <v>7</v>
      </c>
      <c r="AP17" s="168">
        <v>7</v>
      </c>
      <c r="AQ17" s="168">
        <v>7</v>
      </c>
      <c r="AR17" s="168">
        <v>7</v>
      </c>
      <c r="AS17" s="381" t="s">
        <v>650</v>
      </c>
      <c r="AT17" s="216"/>
      <c r="AU17" s="215"/>
      <c r="AV17" s="216"/>
      <c r="AW17" s="215"/>
      <c r="AX17" s="216"/>
      <c r="AY17" s="136">
        <f t="shared" si="10"/>
        <v>4578</v>
      </c>
      <c r="AZ17" s="137">
        <f t="shared" si="10"/>
        <v>1989</v>
      </c>
      <c r="BA17" s="137">
        <f t="shared" si="10"/>
        <v>1732</v>
      </c>
      <c r="BB17" s="137">
        <f t="shared" si="10"/>
        <v>4825</v>
      </c>
      <c r="BC17" s="135">
        <f>IF(ISNUMBER(W17),W17," - ")</f>
        <v>217</v>
      </c>
      <c r="BD17" s="136">
        <f t="shared" ref="BD17:BD22" si="12">IF(ISNUMBER(BA17/AZ17),BA17/AZ17," - ")</f>
        <v>0.87078934137757669</v>
      </c>
      <c r="BE17" s="137">
        <f t="shared" ref="BE17:BE22" si="13">IF(ISNUMBER(BB17/BA17),BB17/BA17, " - ")</f>
        <v>2.785796766743649</v>
      </c>
      <c r="BF17" s="137">
        <f t="shared" ref="BF17:BF22" si="14">IF(ISNUMBER(BC17/BA17),BC17/BA17, " - ")</f>
        <v>0.12528868360277137</v>
      </c>
      <c r="BG17" s="209">
        <f t="shared" si="11"/>
        <v>3.7915704387990763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659</v>
      </c>
      <c r="J18" s="196">
        <v>232</v>
      </c>
      <c r="K18" s="196">
        <v>179</v>
      </c>
      <c r="L18" s="196">
        <v>712</v>
      </c>
      <c r="M18" s="196">
        <v>15</v>
      </c>
      <c r="N18" s="196">
        <v>170</v>
      </c>
      <c r="O18" s="196">
        <v>0</v>
      </c>
      <c r="P18" s="196">
        <v>0</v>
      </c>
      <c r="Q18" s="196">
        <v>0</v>
      </c>
      <c r="R18" s="196">
        <v>5</v>
      </c>
      <c r="S18" s="196">
        <v>650</v>
      </c>
      <c r="T18" s="196">
        <v>239</v>
      </c>
      <c r="U18" s="196">
        <v>251</v>
      </c>
      <c r="V18" s="196">
        <v>638</v>
      </c>
      <c r="W18" s="196">
        <v>15</v>
      </c>
      <c r="X18" s="202">
        <v>207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650</v>
      </c>
      <c r="AZ18" s="139">
        <f t="shared" si="15"/>
        <v>239</v>
      </c>
      <c r="BA18" s="139">
        <f t="shared" si="15"/>
        <v>251</v>
      </c>
      <c r="BB18" s="139">
        <f t="shared" si="15"/>
        <v>638</v>
      </c>
      <c r="BC18" s="135">
        <f>IF(ISNUMBER(W18),W18," - ")</f>
        <v>15</v>
      </c>
      <c r="BD18" s="136">
        <f>IF(ISNUMBER(BA18/AZ18),BA18/AZ18," - ")</f>
        <v>1.0502092050209204</v>
      </c>
      <c r="BE18" s="137">
        <f>IF(ISNUMBER(BB18/BA18),BB18/BA18, " - ")</f>
        <v>2.5418326693227091</v>
      </c>
      <c r="BF18" s="137">
        <f>IF(ISNUMBER(BC18/BA18),BC18/BA18, " - ")</f>
        <v>5.9760956175298807E-2</v>
      </c>
      <c r="BG18" s="209">
        <f>IF(ISNUMBER((AY18+AZ18)/BA18),(AY18+AZ18)/BA18," - ")</f>
        <v>3.5418326693227091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6282</v>
      </c>
      <c r="J23" s="197">
        <f t="shared" si="21"/>
        <v>1992</v>
      </c>
      <c r="K23" s="197">
        <f t="shared" si="21"/>
        <v>1575</v>
      </c>
      <c r="L23" s="197">
        <f t="shared" si="21"/>
        <v>6391</v>
      </c>
      <c r="M23" s="197">
        <f t="shared" si="21"/>
        <v>234</v>
      </c>
      <c r="N23" s="197">
        <f t="shared" si="21"/>
        <v>1079</v>
      </c>
      <c r="O23" s="197">
        <f t="shared" si="21"/>
        <v>0</v>
      </c>
      <c r="P23" s="197">
        <f t="shared" si="21"/>
        <v>8</v>
      </c>
      <c r="Q23" s="197">
        <f t="shared" si="21"/>
        <v>5</v>
      </c>
      <c r="R23" s="197">
        <f t="shared" si="21"/>
        <v>350</v>
      </c>
      <c r="S23" s="197">
        <f t="shared" si="21"/>
        <v>5228</v>
      </c>
      <c r="T23" s="197">
        <f t="shared" si="21"/>
        <v>2228</v>
      </c>
      <c r="U23" s="197">
        <f t="shared" si="21"/>
        <v>1983</v>
      </c>
      <c r="V23" s="197">
        <f t="shared" si="21"/>
        <v>5463</v>
      </c>
      <c r="W23" s="197">
        <f t="shared" si="21"/>
        <v>232</v>
      </c>
      <c r="X23" s="197">
        <f t="shared" si="21"/>
        <v>1324</v>
      </c>
      <c r="Y23" s="197">
        <f t="shared" si="21"/>
        <v>0</v>
      </c>
      <c r="Z23" s="197">
        <f t="shared" si="21"/>
        <v>0</v>
      </c>
      <c r="AA23" s="197">
        <f t="shared" si="21"/>
        <v>0</v>
      </c>
      <c r="AB23" s="197">
        <f t="shared" si="21"/>
        <v>0</v>
      </c>
      <c r="AC23" s="197">
        <f t="shared" si="21"/>
        <v>24</v>
      </c>
      <c r="AD23" s="197">
        <f t="shared" si="21"/>
        <v>27</v>
      </c>
      <c r="AE23" s="197">
        <f t="shared" si="21"/>
        <v>21</v>
      </c>
      <c r="AF23" s="197">
        <f t="shared" si="21"/>
        <v>17</v>
      </c>
      <c r="AG23" s="197">
        <f t="shared" si="21"/>
        <v>0</v>
      </c>
      <c r="AH23" s="197">
        <f t="shared" si="21"/>
        <v>0</v>
      </c>
      <c r="AI23" s="197">
        <f t="shared" si="21"/>
        <v>0</v>
      </c>
      <c r="AJ23" s="197">
        <f t="shared" si="21"/>
        <v>0</v>
      </c>
      <c r="AK23" s="197">
        <f t="shared" si="21"/>
        <v>9</v>
      </c>
      <c r="AL23" s="197">
        <f t="shared" si="21"/>
        <v>16</v>
      </c>
      <c r="AM23" s="197">
        <f t="shared" si="21"/>
        <v>2</v>
      </c>
      <c r="AN23" s="197">
        <f t="shared" si="21"/>
        <v>23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5228</v>
      </c>
      <c r="AZ23" s="197">
        <f>SUBTOTAL(9,AZ15:AZ22)</f>
        <v>2228</v>
      </c>
      <c r="BA23" s="197">
        <f>SUBTOTAL(9,BA15:BA22)</f>
        <v>1983</v>
      </c>
      <c r="BB23" s="197">
        <f>SUBTOTAL(9,BB15:BB22)</f>
        <v>5463</v>
      </c>
      <c r="BC23" s="197">
        <f>SUBTOTAL(9,BC15:BC22)</f>
        <v>232</v>
      </c>
      <c r="BD23" s="219">
        <f>IF(ISNUMBER(BA23/AZ23),BA23/AZ23," - ")</f>
        <v>0.89003590664272891</v>
      </c>
      <c r="BE23" s="220">
        <f>IF(ISNUMBER(BB23/BA23),BB23/BA23, " - ")</f>
        <v>2.7549167927382752</v>
      </c>
      <c r="BF23" s="220">
        <f>IF(ISNUMBER(BC23/BA23),BC23/BA23, " - ")</f>
        <v>0.11699445284921836</v>
      </c>
      <c r="BG23" s="221">
        <f>IF(ISNUMBER((AY23+AZ23)/BA23),(AY23+AZ23)/BA23," - ")</f>
        <v>3.7599596570852243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18294</v>
      </c>
      <c r="J31" s="144">
        <f t="shared" si="36"/>
        <v>4488</v>
      </c>
      <c r="K31" s="144">
        <f t="shared" si="36"/>
        <v>3587</v>
      </c>
      <c r="L31" s="144">
        <f t="shared" si="36"/>
        <v>18870</v>
      </c>
      <c r="M31" s="144">
        <f t="shared" si="36"/>
        <v>612</v>
      </c>
      <c r="N31" s="144">
        <f t="shared" si="36"/>
        <v>1747</v>
      </c>
      <c r="O31" s="144">
        <f t="shared" si="36"/>
        <v>898</v>
      </c>
      <c r="P31" s="144">
        <f t="shared" si="36"/>
        <v>539</v>
      </c>
      <c r="Q31" s="144">
        <f t="shared" si="36"/>
        <v>253</v>
      </c>
      <c r="R31" s="144">
        <f t="shared" si="36"/>
        <v>16521</v>
      </c>
      <c r="S31" s="144">
        <f t="shared" si="36"/>
        <v>13389</v>
      </c>
      <c r="T31" s="144">
        <f t="shared" si="36"/>
        <v>4546</v>
      </c>
      <c r="U31" s="144">
        <f t="shared" si="36"/>
        <v>3721</v>
      </c>
      <c r="V31" s="144">
        <f t="shared" si="36"/>
        <v>14223</v>
      </c>
      <c r="W31" s="144">
        <f t="shared" si="36"/>
        <v>606</v>
      </c>
      <c r="X31" s="144">
        <f t="shared" si="36"/>
        <v>2032</v>
      </c>
      <c r="Y31" s="144">
        <f t="shared" si="36"/>
        <v>331</v>
      </c>
      <c r="Z31" s="144">
        <f t="shared" si="36"/>
        <v>121</v>
      </c>
      <c r="AA31" s="144">
        <f t="shared" si="36"/>
        <v>129</v>
      </c>
      <c r="AB31" s="144">
        <f t="shared" si="36"/>
        <v>323</v>
      </c>
      <c r="AC31" s="144">
        <f t="shared" si="36"/>
        <v>24</v>
      </c>
      <c r="AD31" s="144">
        <f t="shared" si="36"/>
        <v>27</v>
      </c>
      <c r="AE31" s="144">
        <f t="shared" si="36"/>
        <v>21</v>
      </c>
      <c r="AF31" s="144">
        <f t="shared" si="36"/>
        <v>17</v>
      </c>
      <c r="AG31" s="144">
        <f t="shared" si="36"/>
        <v>221</v>
      </c>
      <c r="AH31" s="144">
        <f t="shared" si="36"/>
        <v>184</v>
      </c>
      <c r="AI31" s="144">
        <f t="shared" si="36"/>
        <v>112</v>
      </c>
      <c r="AJ31" s="144">
        <f t="shared" si="36"/>
        <v>293</v>
      </c>
      <c r="AK31" s="144">
        <f t="shared" si="36"/>
        <v>9</v>
      </c>
      <c r="AL31" s="144">
        <f t="shared" si="36"/>
        <v>16</v>
      </c>
      <c r="AM31" s="144">
        <f t="shared" si="36"/>
        <v>2</v>
      </c>
      <c r="AN31" s="224">
        <f t="shared" si="36"/>
        <v>23</v>
      </c>
      <c r="AO31" s="225">
        <v>8</v>
      </c>
      <c r="AP31" s="225">
        <v>7</v>
      </c>
      <c r="AQ31" s="225">
        <v>7</v>
      </c>
      <c r="AR31" s="225">
        <v>7</v>
      </c>
      <c r="AS31" s="166">
        <f t="shared" si="36"/>
        <v>0</v>
      </c>
      <c r="AT31" s="166">
        <f t="shared" si="36"/>
        <v>0</v>
      </c>
      <c r="AU31" s="225"/>
      <c r="AV31" s="226"/>
      <c r="AW31" s="225"/>
      <c r="AX31" s="226"/>
      <c r="AY31" s="143">
        <f>SUBTOTAL(9,AY9:AY30)</f>
        <v>13610</v>
      </c>
      <c r="AZ31" s="144">
        <f>SUBTOTAL(9,AZ9:AZ30)</f>
        <v>4730</v>
      </c>
      <c r="BA31" s="144">
        <f>SUBTOTAL(9,BA9:BA30)</f>
        <v>3833</v>
      </c>
      <c r="BB31" s="144">
        <f>SUBTOTAL(9,BB9:BB30)</f>
        <v>14516</v>
      </c>
      <c r="BC31" s="145">
        <f>SUBTOTAL(9,BC9:BC30)</f>
        <v>956</v>
      </c>
      <c r="BD31" s="227">
        <f>IF(ISNUMBER(BA31/AZ31),BA31/AZ31," - ")</f>
        <v>0.81035940803382667</v>
      </c>
      <c r="BE31" s="224">
        <f>IF(ISNUMBER(BB31/BA31),BB31/BA31, " - ")</f>
        <v>3.7871119227758934</v>
      </c>
      <c r="BF31" s="224">
        <f>IF(ISNUMBER(BC31/BA31),BC31/BA31, " - ")</f>
        <v>0.24941299243412471</v>
      </c>
      <c r="BG31" s="145">
        <f>IF(ISNUMBER((AY31+AZ31)/BA31),(AY31+AZ31)/BA31," - ")</f>
        <v>4.7847638925123928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mFQn/H9QU8FGfqoVDbS5Ps9sGrqmh0fFaukDr7V2NFyF+AQimv4GWfJXb5tUicQV3fXQPZPGcaM2jbic0vEg==" saltValue="8VNn+Sums+VtHg5fuqyC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TwMGNKXYDfi3VMhHIOrKHU9uEBH27qN45J59AeYxYHekyUU3U4HBO1ZTuoD4E2SqKSt5APUFL7CfIwzaArKGQ==" saltValue="l+xMH1ZLOX4WZkoEfk25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ILLESCAS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260</v>
      </c>
      <c r="G10" s="543">
        <f>IF(ISNUMBER(Datos!I10),Datos!I10," - ")</f>
        <v>277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6</v>
      </c>
      <c r="AD10" s="549"/>
      <c r="AE10" s="563"/>
      <c r="AF10" s="551">
        <f>IF(ISNUMBER(Datos!L10),Datos!L10,"-")</f>
        <v>257</v>
      </c>
      <c r="AG10" s="549"/>
      <c r="AH10" s="549"/>
      <c r="AI10" s="549"/>
      <c r="AJ10" s="549"/>
      <c r="AK10" s="549"/>
      <c r="AL10" s="550"/>
      <c r="AM10" s="766">
        <f>IF(ISNUMBER(Datos!R10),Datos!R10," - ")</f>
        <v>197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7</v>
      </c>
      <c r="BE10" s="693" t="str">
        <f>IF(ISNUMBER(Datos!BW10),Datos!BW10," - ")</f>
        <v xml:space="preserve"> - </v>
      </c>
      <c r="BF10" s="762" t="str">
        <f>IF(ISNUMBER(Datos!BX10),Datos!BX10," - ")</f>
        <v xml:space="preserve"> - </v>
      </c>
      <c r="BG10" s="763">
        <f>IF(ISNUMBER(Datos!K10/Datos!J10),Datos!K10/Datos!J10," - ")</f>
        <v>1.0810810810810811</v>
      </c>
      <c r="BH10" s="764">
        <f>IF(ISNUMBER(((Datos!L10/Datos!K10)*11)/factor_trimestre),((Datos!L10/Datos!K10)*11)/factor_trimestre," - ")</f>
        <v>19.274999999999999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2.6041666666666668E-2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121</v>
      </c>
      <c r="O12" s="549"/>
      <c r="P12" s="549"/>
      <c r="Q12" s="547">
        <f>IF(ISNUMBER(Datos!P12),Datos!P12,0)</f>
        <v>520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323</v>
      </c>
      <c r="AI12" s="549" t="str">
        <f>IF(ISNUMBER(Datos!CD12),Datos!CD12,"-")</f>
        <v>-</v>
      </c>
      <c r="AJ12" s="549" t="str">
        <f>IF(ISNUMBER(Datos!EN12),Datos!EN12," - ")</f>
        <v xml:space="preserve"> - </v>
      </c>
      <c r="AK12" s="549"/>
      <c r="AL12" s="550"/>
      <c r="AM12" s="766">
        <f>IF(ISNUMBER(Datos!R12),Datos!R12," - ")</f>
        <v>15974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352</v>
      </c>
      <c r="BD12" s="693">
        <f>IF(ISNUMBER(Datos!N12),Datos!N12," - ")</f>
        <v>661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0.81434108527131788</v>
      </c>
      <c r="BH12" s="764">
        <f>IF(ISNUMBER(((IF(J_V="SI",Datos!L12/Datos!K12,(Datos!L12+Datos!AB12)/(Datos!K12+Datos!AA12)))*11)/factor_trimestre),((IF(J_V="SI",Datos!L12/Datos!K12,(Datos!L12+Datos!AB12)/(Datos!K12+Datos!AA12)))*11)/factor_trimestre," - ")</f>
        <v>17.912898619704904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1.7711518858307847E-2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260</v>
      </c>
      <c r="G14" s="1197">
        <f t="shared" si="1"/>
        <v>277</v>
      </c>
      <c r="H14" s="1198">
        <f t="shared" si="1"/>
        <v>0</v>
      </c>
      <c r="I14" s="1197">
        <f t="shared" si="1"/>
        <v>0</v>
      </c>
      <c r="J14" s="1164">
        <f t="shared" si="1"/>
        <v>0</v>
      </c>
      <c r="K14" s="1164">
        <f t="shared" si="1"/>
        <v>0</v>
      </c>
      <c r="L14" s="1198">
        <f t="shared" si="1"/>
        <v>0</v>
      </c>
      <c r="M14" s="1198">
        <f t="shared" si="1"/>
        <v>0</v>
      </c>
      <c r="N14" s="1198">
        <f t="shared" si="1"/>
        <v>121</v>
      </c>
      <c r="O14" s="1199">
        <f t="shared" si="1"/>
        <v>0</v>
      </c>
      <c r="P14" s="1199">
        <f t="shared" si="1"/>
        <v>0</v>
      </c>
      <c r="Q14" s="1198">
        <f t="shared" si="1"/>
        <v>531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248</v>
      </c>
      <c r="AD14" s="1198">
        <f t="shared" si="2"/>
        <v>0</v>
      </c>
      <c r="AE14" s="1198">
        <f t="shared" si="2"/>
        <v>0</v>
      </c>
      <c r="AF14" s="1198">
        <f t="shared" si="2"/>
        <v>257</v>
      </c>
      <c r="AG14" s="1198">
        <f t="shared" si="2"/>
        <v>0</v>
      </c>
      <c r="AH14" s="1198">
        <f t="shared" si="2"/>
        <v>323</v>
      </c>
      <c r="AI14" s="1198">
        <f t="shared" si="2"/>
        <v>0</v>
      </c>
      <c r="AJ14" s="1198">
        <f t="shared" si="2"/>
        <v>0</v>
      </c>
      <c r="AK14" s="1198">
        <f t="shared" si="2"/>
        <v>0</v>
      </c>
      <c r="AL14" s="1198">
        <f t="shared" si="2"/>
        <v>0</v>
      </c>
      <c r="AM14" s="1198">
        <f t="shared" si="2"/>
        <v>16171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378</v>
      </c>
      <c r="BD14" s="1198">
        <f t="shared" si="2"/>
        <v>668</v>
      </c>
      <c r="BE14" s="1198">
        <f t="shared" si="2"/>
        <v>0</v>
      </c>
      <c r="BF14" s="1198">
        <f t="shared" si="2"/>
        <v>0</v>
      </c>
      <c r="BG14" s="1198">
        <f>IF(ISNUMBER(Datos!K14/Datos!J14),Datos!K14/Datos!J14," - ")</f>
        <v>0.80608974358974361</v>
      </c>
      <c r="BH14" s="1202">
        <f>IF(ISNUMBER(((Datos!L14/Datos!K14)*11)/factor_trimestre),((Datos!L14/Datos!K14)*11)/factor_trimestre," - ")</f>
        <v>18.606858846918488</v>
      </c>
      <c r="BI14" s="1198">
        <f>IF(ISNUMBER('Resol  Asuntos'!D14/NºAsuntos!G14),'Resol  Asuntos'!D14/NºAsuntos!G14," - ")</f>
        <v>0.17655301261092948</v>
      </c>
      <c r="BJ14" s="1198" t="str">
        <f>IF(ISNUMBER(Datos!CI14/Datos!CJ14),Datos!CI14/Datos!CJ14," - ")</f>
        <v xml:space="preserve"> - </v>
      </c>
      <c r="BK14" s="1198">
        <f>SUBTOTAL(9,BK8:BK13)</f>
        <v>0</v>
      </c>
      <c r="BL14" s="1198">
        <f>IF(ISNUMBER((I14-AB14+L14)/(F14)),(I14-AB14+L14)/(F14)," - ")</f>
        <v>-0.15384615384615385</v>
      </c>
      <c r="BM14" s="1203">
        <f>SUBTOTAL(9,BM9:BM13)</f>
        <v>4.3753185524974515E-2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5315</v>
      </c>
      <c r="G17" s="743">
        <f>IF(ISNUMBER(IF(D_I="SI",Datos!I17,Datos!I17+Datos!AC17)),IF(D_I="SI",Datos!I17,Datos!I17+Datos!AC17)," - ")</f>
        <v>5623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1396</v>
      </c>
      <c r="AC17" s="240">
        <f>IF(ISNUMBER(Datos!Q17),Datos!Q17," - ")</f>
        <v>5</v>
      </c>
      <c r="AD17" s="374"/>
      <c r="AE17" s="562"/>
      <c r="AF17" s="741">
        <f>IF(ISNUMBER(IF(D_I="SI",Datos!L17,Datos!L17+Datos!AF17)),IF(D_I="SI",Datos!L17,Datos!L17+Datos!AF17)," - ")</f>
        <v>5679</v>
      </c>
      <c r="AG17" s="374"/>
      <c r="AH17" s="374"/>
      <c r="AI17" s="374"/>
      <c r="AJ17" s="549"/>
      <c r="AK17" s="374"/>
      <c r="AL17" s="545"/>
      <c r="AM17" s="375">
        <f>IF(ISNUMBER(Datos!R17),Datos!R17," - ")</f>
        <v>345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219</v>
      </c>
      <c r="BD17" s="243">
        <f>IF(ISNUMBER(Datos!N17),Datos!N17," - ")</f>
        <v>909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0.79318181818181821</v>
      </c>
      <c r="BH17" s="764">
        <f>IF(ISNUMBER(((IF(D_I="SI",Datos!L17/Datos!K17,(Datos!L17+Datos!AF17)/(Datos!K17+Datos!AE17)))*11)/factor_trimestre),((IF(D_I="SI",Datos!L17/Datos!K17,(Datos!L17+Datos!AF17)/(Datos!K17+Datos!AE17)))*11)/factor_trimestre," - ")</f>
        <v>12.204154727793696</v>
      </c>
      <c r="BI17" s="266">
        <f>IF(ISNUMBER('Resol  Asuntos'!D17/NºAsuntos!G17),'Resol  Asuntos'!D17/NºAsuntos!G17," - ")</f>
        <v>0.15687679083094555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179</v>
      </c>
      <c r="AC18" s="547">
        <f>IF(ISNUMBER(Datos!Q18),Datos!Q18," - ")</f>
        <v>0</v>
      </c>
      <c r="AD18" s="549"/>
      <c r="AE18" s="562"/>
      <c r="AF18" s="551">
        <f>IF(ISNUMBER(Datos!L18),Datos!L18,"-")</f>
        <v>712</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0.77155172413793105</v>
      </c>
      <c r="BH18" s="764">
        <f>IF(ISNUMBER(((IF(D_I="SI",Datos!L18/Datos!K18,(Datos!L18+Datos!AF18)/(Datos!K18+Datos!AE18)))*11)/factor_trimestre),((IF(D_I="SI",Datos!L18/Datos!K18,(Datos!L18+Datos!AF18)/(Datos!K18+Datos!AE18)))*11)/factor_trimestre," - ")</f>
        <v>11.932960893854748</v>
      </c>
      <c r="BI18" s="763">
        <f>IF(ISNUMBER('Resol  Asuntos'!D18/NºAsuntos!G18),'Resol  Asuntos'!D18/NºAsuntos!G18," - ")</f>
        <v>8.3798882681564241E-2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5315</v>
      </c>
      <c r="G23" s="1197">
        <f>SUBTOTAL(9,G16:G22)</f>
        <v>6282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1575</v>
      </c>
      <c r="AC23" s="1198">
        <f t="shared" si="5"/>
        <v>5</v>
      </c>
      <c r="AD23" s="1198">
        <f t="shared" si="5"/>
        <v>0</v>
      </c>
      <c r="AE23" s="1198">
        <f t="shared" si="5"/>
        <v>0</v>
      </c>
      <c r="AF23" s="1198">
        <f t="shared" si="5"/>
        <v>6391</v>
      </c>
      <c r="AG23" s="1198">
        <f t="shared" si="5"/>
        <v>0</v>
      </c>
      <c r="AH23" s="1198">
        <f t="shared" si="5"/>
        <v>0</v>
      </c>
      <c r="AI23" s="1198">
        <f t="shared" si="5"/>
        <v>0</v>
      </c>
      <c r="AJ23" s="1198">
        <f t="shared" si="5"/>
        <v>0</v>
      </c>
      <c r="AK23" s="1198">
        <f t="shared" si="5"/>
        <v>0</v>
      </c>
      <c r="AL23" s="1198">
        <f t="shared" si="5"/>
        <v>0</v>
      </c>
      <c r="AM23" s="1198">
        <f t="shared" si="5"/>
        <v>350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234</v>
      </c>
      <c r="BD23" s="1198">
        <f t="shared" si="5"/>
        <v>1079</v>
      </c>
      <c r="BE23" s="1198">
        <f t="shared" si="5"/>
        <v>0</v>
      </c>
      <c r="BF23" s="1198">
        <f t="shared" si="5"/>
        <v>0</v>
      </c>
      <c r="BG23" s="1198">
        <f>IF(ISNUMBER(Datos!K23/Datos!J23),Datos!K23/Datos!J23," - ")</f>
        <v>0.79066265060240959</v>
      </c>
      <c r="BH23" s="1202">
        <f>IF(ISNUMBER(((Datos!L23/Datos!K23)*11)/factor_trimestre),((Datos!L23/Datos!K23)*11)/factor_trimestre," - ")</f>
        <v>12.173333333333334</v>
      </c>
      <c r="BI23" s="1198">
        <f>SUBTOTAL(9,BI16:BI22)</f>
        <v>0.24067567351250979</v>
      </c>
      <c r="BJ23" s="1198">
        <f>SUBTOTAL(9,BJ16:BJ22)</f>
        <v>0</v>
      </c>
      <c r="BK23" s="1198">
        <f>SUBTOTAL(9,BK16:BK22)</f>
        <v>0</v>
      </c>
      <c r="BL23" s="1198">
        <f>IF(ISNUMBER((I23-AB23+L23)/(F23)),(I23-AB23+L23)/(F23)," - ")</f>
        <v>-0.29633113828786456</v>
      </c>
      <c r="BM23" s="1205">
        <f>IF(ISNUMBER((Datos!P23-Datos!Q23)/(Datos!R23-Datos!P23+Datos!Q23)),(Datos!P23-Datos!Q23)/(Datos!R23-Datos!P23+Datos!Q23)," - ")</f>
        <v>8.6455331412103754E-3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5575</v>
      </c>
      <c r="G31" s="1117">
        <f t="shared" si="18"/>
        <v>6559</v>
      </c>
      <c r="H31" s="1119">
        <f t="shared" si="18"/>
        <v>0</v>
      </c>
      <c r="I31" s="1117">
        <f t="shared" si="18"/>
        <v>0</v>
      </c>
      <c r="J31" s="1119">
        <f t="shared" si="18"/>
        <v>0</v>
      </c>
      <c r="K31" s="1119">
        <f t="shared" si="18"/>
        <v>0</v>
      </c>
      <c r="L31" s="1180">
        <f t="shared" si="18"/>
        <v>0</v>
      </c>
      <c r="M31" s="1180">
        <f t="shared" si="18"/>
        <v>0</v>
      </c>
      <c r="N31" s="1180">
        <f t="shared" si="18"/>
        <v>121</v>
      </c>
      <c r="O31" s="1180">
        <f t="shared" si="18"/>
        <v>0</v>
      </c>
      <c r="P31" s="1180">
        <f t="shared" si="18"/>
        <v>0</v>
      </c>
      <c r="Q31" s="1119">
        <f t="shared" si="18"/>
        <v>539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1615</v>
      </c>
      <c r="AC31" s="1118">
        <f t="shared" si="19"/>
        <v>253</v>
      </c>
      <c r="AD31" s="1118">
        <f t="shared" si="19"/>
        <v>0</v>
      </c>
      <c r="AE31" s="1118">
        <f t="shared" si="19"/>
        <v>0</v>
      </c>
      <c r="AF31" s="1125">
        <f t="shared" si="19"/>
        <v>6648</v>
      </c>
      <c r="AG31" s="1125">
        <f t="shared" si="19"/>
        <v>0</v>
      </c>
      <c r="AH31" s="1125">
        <f t="shared" si="19"/>
        <v>323</v>
      </c>
      <c r="AI31" s="1125">
        <f t="shared" si="19"/>
        <v>0</v>
      </c>
      <c r="AJ31" s="1118">
        <f t="shared" si="19"/>
        <v>0</v>
      </c>
      <c r="AK31" s="1125">
        <f t="shared" si="19"/>
        <v>0</v>
      </c>
      <c r="AL31" s="1125">
        <f t="shared" si="19"/>
        <v>0</v>
      </c>
      <c r="AM31" s="1125">
        <f t="shared" si="19"/>
        <v>16521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612</v>
      </c>
      <c r="BD31" s="1117">
        <f t="shared" si="19"/>
        <v>1747</v>
      </c>
      <c r="BE31" s="1117">
        <f t="shared" si="19"/>
        <v>0</v>
      </c>
      <c r="BF31" s="1127">
        <f t="shared" si="19"/>
        <v>0</v>
      </c>
      <c r="BG31" s="1223">
        <f>IF(ISNUMBER(Datos!K31/Datos!J31),Datos!K31/Datos!J31," - ")</f>
        <v>0.7992424242424242</v>
      </c>
      <c r="BH31" s="1223">
        <f>IF(ISNUMBER(((Datos!L31/Datos!K31)*11)/factor_trimestre),((Datos!L31/Datos!K31)*11)/factor_trimestre," - ")</f>
        <v>15.781990521327016</v>
      </c>
      <c r="BI31" s="1103">
        <f>IF(ISNUMBER(Datos!J31/Datos!I31),Datos!J31/Datos!I31," - ")</f>
        <v>0.24532633650377172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-0.28968609865470851</v>
      </c>
      <c r="BM31" s="1188">
        <f>IF(ISNUMBER((Datos!P31-Datos!Q31+R31)/(Datos!R31-Datos!P31+Datos!Q31-R31)),(Datos!P31-Datos!Q31+R31)/(Datos!R31-Datos!P31+Datos!Q31-R31)," - ")</f>
        <v>1.7616261164151523E-2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1874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2680.0460195053865</v>
      </c>
      <c r="G33" s="674">
        <f>IF(ISNUMBER(STDEV(G8:G30)),STDEV(G8:G30),"-")</f>
        <v>2801.3764473915317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704.06767126057264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161.74671557716403</v>
      </c>
      <c r="BD33" s="673"/>
      <c r="BE33" s="673">
        <f>IF(ISNUMBER(STDEV(BE8:BE30)),STDEV(BE8:BE30),"-")</f>
        <v>0</v>
      </c>
      <c r="BF33" s="678">
        <f>IF(ISNUMBER(STDEV(BF8:BF30)),STDEV(BF8:BF30),"-")</f>
        <v>0</v>
      </c>
      <c r="BG33" s="1052">
        <f>IF(ISNUMBER(STDEV(BG8:BG30)),STDEV(BG8:BG30),"-")</f>
        <v>0.117636736089686</v>
      </c>
      <c r="BH33" s="1058">
        <f>IF(ISNUMBER(STDEV(BH8:BH30)),STDEV(BH8:BH30),"-")</f>
        <v>3.5845476480731051</v>
      </c>
      <c r="BI33" s="273">
        <f>IF(ISNUMBER(STDEV(BI8:BI30)),STDEV(BI8:BI30),"-")</f>
        <v>6.4598219056444056E-2</v>
      </c>
      <c r="BJ33" s="244" t="str">
        <f>IF(ISNUMBER(BL33/BM33),BL33/BM33," - ")</f>
        <v xml:space="preserve"> - </v>
      </c>
      <c r="BK33" s="709"/>
      <c r="BL33" s="681">
        <f>IF(ISNUMBER(STDEV(BL8:BL30)),STDEV(BL8:BL30),"-")</f>
        <v>0.10075209871599336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Zcvk2OigZju5NETTp71ASdtCd7Dq/RbDOPLbPz0IFbLCplK7BUW3W48tlhF1jyDHEEYPE8cj65oo/Vr371VQ==" saltValue="wSVovCSpwF9HvGBUt+K9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ILLESCAS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260</v>
      </c>
      <c r="G10" s="552">
        <f>IF(ISNUMBER(Datos!I10),Datos!I10," - ")</f>
        <v>277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6</v>
      </c>
      <c r="AA10" s="551">
        <f>IF(ISNUMBER(Datos!L10),Datos!L10,"-")</f>
        <v>257</v>
      </c>
      <c r="AB10" s="549"/>
      <c r="AC10" s="549"/>
      <c r="AD10" s="563"/>
      <c r="AE10" s="563">
        <f>IF(ISNUMBER(Datos!R10),Datos!R10," - ")</f>
        <v>197</v>
      </c>
      <c r="AF10" s="693" t="str">
        <f>IF(ISNUMBER(Datos!BV10),Datos!BV10," - ")</f>
        <v xml:space="preserve"> - </v>
      </c>
      <c r="AG10" s="552" t="str">
        <f>IF(ISNUMBER(Datos!DV10),Datos!DV10," - ")</f>
        <v xml:space="preserve"> - </v>
      </c>
      <c r="AH10" s="553"/>
      <c r="AI10" s="554"/>
      <c r="AJ10" s="552">
        <f>IF(ISNUMBER(Datos!M10),Datos!M10," - ")</f>
        <v>26</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19.274999999999999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2.6041666666666668E-2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242</v>
      </c>
      <c r="AA12" s="551" t="str">
        <f>IF(ISNUMBER(IF(J_V="SI",Datos!L12,Datos!L12+Datos!AB12)-IF(Monitorios="SI",Datos!CD12,0)),
                          IF(J_V="SI",Datos!L12,Datos!L12+Datos!AB12)-IF(Monitorios="SI",Datos!CD12,0),
                          " - ")</f>
        <v xml:space="preserve"> - </v>
      </c>
      <c r="AB12" s="549"/>
      <c r="AC12" s="549"/>
      <c r="AD12" s="563"/>
      <c r="AE12" s="563">
        <f>IF(ISNUMBER(Datos!R12),Datos!R12," - ")</f>
        <v>15974</v>
      </c>
      <c r="AF12" s="693" t="str">
        <f>IF(ISNUMBER(Datos!BV12),Datos!BV12," - ")</f>
        <v xml:space="preserve"> - </v>
      </c>
      <c r="AG12" s="552" t="str">
        <f>IF(ISNUMBER(Datos!DV12),Datos!DV12," - ")</f>
        <v xml:space="preserve"> - </v>
      </c>
      <c r="AH12" s="553"/>
      <c r="AI12" s="554"/>
      <c r="AJ12" s="552">
        <f>IF(ISNUMBER(Datos!M12),Datos!M12," - ")</f>
        <v>352</v>
      </c>
      <c r="AK12" s="693">
        <f>IF(ISNUMBER(Datos!N12),Datos!N12," - ")</f>
        <v>661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17.912898619704904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1.7711518858307847E-2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260</v>
      </c>
      <c r="G14" s="1197">
        <f>SUBTOTAL(9,G8:G13)</f>
        <v>277</v>
      </c>
      <c r="H14" s="1211"/>
      <c r="I14" s="1197">
        <f t="shared" ref="I14:N14" si="1">SUBTOTAL(9,I8:I13)</f>
        <v>0</v>
      </c>
      <c r="J14" s="1164">
        <f t="shared" si="1"/>
        <v>0</v>
      </c>
      <c r="K14" s="1211">
        <f t="shared" si="1"/>
        <v>0</v>
      </c>
      <c r="L14" s="1211">
        <f t="shared" si="1"/>
        <v>0</v>
      </c>
      <c r="M14" s="1211">
        <f t="shared" si="1"/>
        <v>0</v>
      </c>
      <c r="N14" s="1211">
        <f t="shared" si="1"/>
        <v>531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248</v>
      </c>
      <c r="AA14" s="1199">
        <f t="shared" si="3"/>
        <v>257</v>
      </c>
      <c r="AB14" s="1199">
        <f t="shared" si="3"/>
        <v>0</v>
      </c>
      <c r="AC14" s="1199">
        <f t="shared" si="3"/>
        <v>0</v>
      </c>
      <c r="AD14" s="1199">
        <f t="shared" si="3"/>
        <v>0</v>
      </c>
      <c r="AE14" s="1199">
        <f t="shared" si="3"/>
        <v>16171</v>
      </c>
      <c r="AF14" s="1211">
        <f t="shared" si="3"/>
        <v>0</v>
      </c>
      <c r="AG14" s="1211">
        <f t="shared" si="3"/>
        <v>0</v>
      </c>
      <c r="AH14" s="1211">
        <f t="shared" si="3"/>
        <v>0</v>
      </c>
      <c r="AI14" s="1211">
        <f t="shared" si="3"/>
        <v>0</v>
      </c>
      <c r="AJ14" s="1211">
        <f t="shared" si="3"/>
        <v>378</v>
      </c>
      <c r="AK14" s="1211">
        <f t="shared" si="3"/>
        <v>668</v>
      </c>
      <c r="AL14" s="1211">
        <f t="shared" si="3"/>
        <v>0</v>
      </c>
      <c r="AM14" s="1211">
        <f t="shared" si="3"/>
        <v>0</v>
      </c>
      <c r="AN14" s="1211">
        <f t="shared" si="3"/>
        <v>0</v>
      </c>
      <c r="AO14" s="1203">
        <f>IF(ISNUMBER(((NºAsuntos!I14/NºAsuntos!G14)*11)/factor_trimestre),((NºAsuntos!I14/NºAsuntos!G14)*11)/factor_trimestre," - ")</f>
        <v>17.938346567024755</v>
      </c>
      <c r="AP14" s="1213" t="str">
        <f>IF(ISNUMBER(Datos!CI14/Datos!CJ14),Datos!CI14/Datos!CJ14," - ")</f>
        <v xml:space="preserve"> - </v>
      </c>
      <c r="AQ14" s="1236">
        <f t="shared" ref="AQ14:AV14" si="4">SUBTOTAL(9,AQ9:AQ13)</f>
        <v>0</v>
      </c>
      <c r="AR14" s="1236">
        <f t="shared" si="4"/>
        <v>4.3753185524974515E-2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5315</v>
      </c>
      <c r="G17" s="552">
        <f>IF(ISNUMBER(IF(D_I="SI",Datos!I17,Datos!I17+Datos!AC17)),IF(D_I="SI",Datos!I17,Datos!I17+Datos!AC17)," - ")</f>
        <v>5623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1396</v>
      </c>
      <c r="Z17" s="805">
        <f>IF(ISNUMBER(Datos!Q17),Datos!Q17," - ")</f>
        <v>5</v>
      </c>
      <c r="AA17" s="551">
        <f>IF(ISNUMBER(IF(D_I="SI",Datos!L17,Datos!L17+Datos!AF17)),IF(D_I="SI",Datos!L17,Datos!L17+Datos!AF17)," - ")</f>
        <v>5679</v>
      </c>
      <c r="AB17" s="549"/>
      <c r="AC17" s="549"/>
      <c r="AD17" s="563"/>
      <c r="AE17" s="563">
        <f>IF(ISNUMBER(Datos!R17),Datos!R17," - ")</f>
        <v>345</v>
      </c>
      <c r="AF17" s="693" t="str">
        <f>IF(ISNUMBER(Datos!BV17),Datos!BV17," - ")</f>
        <v xml:space="preserve"> - </v>
      </c>
      <c r="AG17" s="552"/>
      <c r="AH17" s="553"/>
      <c r="AI17" s="554"/>
      <c r="AJ17" s="552">
        <f>IF(ISNUMBER(Datos!M17),Datos!M17," - ")</f>
        <v>219</v>
      </c>
      <c r="AK17" s="693">
        <f>IF(ISNUMBER(Datos!N17),Datos!N17," - ")</f>
        <v>909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12.204154727793696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179</v>
      </c>
      <c r="Z18" s="805">
        <f>IF(ISNUMBER(Datos!Q18),Datos!Q18," - ")</f>
        <v>0</v>
      </c>
      <c r="AA18" s="551">
        <f>IF(ISNUMBER(Datos!L18),Datos!L18,"-")</f>
        <v>712</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15</v>
      </c>
      <c r="AK18" s="693">
        <f>IF(ISNUMBER(Datos!N18),Datos!N18," - ")</f>
        <v>170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11.932960893854748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5315</v>
      </c>
      <c r="G23" s="1197">
        <f>SUBTOTAL(9,G16:G22)</f>
        <v>6282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1575</v>
      </c>
      <c r="Z23" s="1240">
        <f t="shared" si="6"/>
        <v>5</v>
      </c>
      <c r="AA23" s="1240">
        <f t="shared" si="6"/>
        <v>6391</v>
      </c>
      <c r="AB23" s="1240">
        <f t="shared" si="6"/>
        <v>0</v>
      </c>
      <c r="AC23" s="1240">
        <f t="shared" si="6"/>
        <v>0</v>
      </c>
      <c r="AD23" s="1240">
        <f t="shared" si="6"/>
        <v>0</v>
      </c>
      <c r="AE23" s="1240">
        <f t="shared" si="6"/>
        <v>350</v>
      </c>
      <c r="AF23" s="1240">
        <f t="shared" si="6"/>
        <v>0</v>
      </c>
      <c r="AG23" s="1240">
        <f t="shared" si="6"/>
        <v>0</v>
      </c>
      <c r="AH23" s="1240">
        <f t="shared" si="6"/>
        <v>0</v>
      </c>
      <c r="AI23" s="1240">
        <f t="shared" si="6"/>
        <v>0</v>
      </c>
      <c r="AJ23" s="1240">
        <f t="shared" si="6"/>
        <v>234</v>
      </c>
      <c r="AK23" s="1240">
        <f t="shared" si="6"/>
        <v>1079</v>
      </c>
      <c r="AL23" s="1240">
        <f t="shared" si="6"/>
        <v>0</v>
      </c>
      <c r="AM23" s="1240">
        <f t="shared" si="6"/>
        <v>0</v>
      </c>
      <c r="AN23" s="1240">
        <f t="shared" si="6"/>
        <v>0</v>
      </c>
      <c r="AO23" s="1242">
        <f>IF(ISNUMBER(((NºAsuntos!I23/NºAsuntos!G23)*11)/factor_trimestre),((NºAsuntos!I23/NºAsuntos!G23)*11)/factor_trimestre," - ")</f>
        <v>12.173333333333334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5575</v>
      </c>
      <c r="G31" s="1117">
        <f t="shared" si="12"/>
        <v>6559</v>
      </c>
      <c r="H31" s="1118">
        <f t="shared" si="12"/>
        <v>0</v>
      </c>
      <c r="I31" s="1117">
        <f t="shared" si="12"/>
        <v>0</v>
      </c>
      <c r="J31" s="1119">
        <f t="shared" si="12"/>
        <v>0</v>
      </c>
      <c r="K31" s="1117">
        <f t="shared" si="12"/>
        <v>0</v>
      </c>
      <c r="L31" s="1120">
        <f t="shared" si="12"/>
        <v>0</v>
      </c>
      <c r="M31" s="1117">
        <f t="shared" si="12"/>
        <v>0</v>
      </c>
      <c r="N31" s="1118">
        <f t="shared" si="12"/>
        <v>539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1615</v>
      </c>
      <c r="Z31" s="1124">
        <f t="shared" si="13"/>
        <v>253</v>
      </c>
      <c r="AA31" s="1125">
        <f t="shared" si="13"/>
        <v>6648</v>
      </c>
      <c r="AB31" s="1125">
        <f t="shared" si="13"/>
        <v>0</v>
      </c>
      <c r="AC31" s="1125">
        <f t="shared" si="13"/>
        <v>0</v>
      </c>
      <c r="AD31" s="1126">
        <f t="shared" si="13"/>
        <v>0</v>
      </c>
      <c r="AE31" s="1126">
        <f t="shared" si="13"/>
        <v>16521</v>
      </c>
      <c r="AF31" s="1127">
        <f t="shared" si="13"/>
        <v>0</v>
      </c>
      <c r="AG31" s="1128">
        <f t="shared" si="13"/>
        <v>0</v>
      </c>
      <c r="AH31" s="1129">
        <f t="shared" si="13"/>
        <v>0</v>
      </c>
      <c r="AI31" s="1127">
        <f t="shared" si="13"/>
        <v>0</v>
      </c>
      <c r="AJ31" s="1117">
        <f t="shared" si="13"/>
        <v>612</v>
      </c>
      <c r="AK31" s="1117">
        <f t="shared" si="13"/>
        <v>1747</v>
      </c>
      <c r="AL31" s="1117">
        <f t="shared" si="13"/>
        <v>0</v>
      </c>
      <c r="AM31" s="1130">
        <f t="shared" si="13"/>
        <v>0</v>
      </c>
      <c r="AN31" s="1120">
        <f>IF(ISNUMBER(Datos!K31/Datos!J31),Datos!K31/Datos!J31," - ")</f>
        <v>0.7992424242424242</v>
      </c>
      <c r="AO31" s="1120">
        <f>IF(ISNUMBER(FIND("06",Criterios!A8,1)),(IF(ISNUMBER(((Datos!R31/Datos!Q31)*11)/factor_trimestre),((Datos!R31/Datos!Q31)*11)/factor_trimestre," - ")),(IF(ISNUMBER(((Datos!L31/Datos!K31)*11)/factor_trimestre),((Datos!L31/Datos!K31)*11)/factor_trimestre," - ")))</f>
        <v>15.781990521327016</v>
      </c>
      <c r="AP31" s="1131" t="str">
        <f>IF(ISNUMBER(Datos!CI31/Datos!CJ31),Datos!CI31/Datos!CJ31," - ")</f>
        <v xml:space="preserve"> - </v>
      </c>
      <c r="AQ31" s="1131">
        <f>IF(OR(ISNUMBER(FIND("01",Criterios!A8,1)),ISNUMBER(FIND("02",Criterios!A8,1)),ISNUMBER(FIND("03",Criterios!A8,1)),ISNUMBER(FIND("04",Criterios!A8,1))),(J31-Y31+K31)/(F31-K31),(I31-Y31+K31)/(F31-K31))</f>
        <v>-0.28968609865470851</v>
      </c>
      <c r="AR31" s="1131">
        <f>IF(ISNUMBER((Datos!P31-Datos!Q31+O31)/(Datos!R31-Datos!P31+Datos!Q31-O31)),(Datos!P31-Datos!Q31+O31)/(Datos!R31-Datos!P31+Datos!Q31-O31)," - ")</f>
        <v>1.7616261164151523E-2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1874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2680.0460195053865</v>
      </c>
      <c r="G33" s="674">
        <f>IF(ISNUMBER(STDEV(G8:G30)),STDEV(G8:G30),"-")</f>
        <v>2801.3764473915317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161.74671557716403</v>
      </c>
      <c r="AK33" s="276"/>
      <c r="AL33" s="276">
        <f>IF(ISNUMBER(STDEV(AL8:AL30)),STDEV(AL8:AL30),"-")</f>
        <v>0</v>
      </c>
      <c r="AM33" s="278">
        <f>IF(ISNUMBER(STDEV(AM8:AM30)),STDEV(AM8:AM30),"-")</f>
        <v>0</v>
      </c>
      <c r="AN33" s="660">
        <f>IF(ISNUMBER(STDEV(AN8:AN30)),STDEV(AN8:AN30),"-")</f>
        <v>0</v>
      </c>
      <c r="AO33" s="661">
        <f>IF(ISNUMBER(STDEV(AO8:AO30)),STDEV(AO8:AO30),"-")</f>
        <v>3.471714072798636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F6pWnPd+kJl95wp3+asBAH9fVic8O2/JQZ6WDDZy/LelVOnTxTJoshIaVZiQIGhxd4N0KIiw2yDjaI5Sbx1MA==" saltValue="0uphJDEQ5OGn0zGx8xaN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zJ33N9WUrTFAh+iD5rnVIYMEw+P3mPPFsjjXnaJk/jaPqw2zxc0tNIRHCZrAVA+nTxRzRtuCDhLtFMSBUNnig==" saltValue="8kqP3QWkUxYUzi1ugl5Y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8EzhxRMCzrHLiYaX/N53DOghwOXXcRRGOHDqInFbf+vRTyzhRH3iGYevqid5d6/Y87at7IFryprB5QZ7Bmm5Q==" saltValue="Sx0cKYzV6ix4H00MpKuf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ILLESCAS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0.17655301261092948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0.12484183245610228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A3ep5sBEp1ZOBRzc1bBrXnIRYb5TLNtChysHYoR1logc4MQQ/aQr1ppslMieVG99A2kUnRoNE9radQPmBwrWA==" saltValue="U4FzDzsSKa/D+PrR8LfK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c8G+tIYYwGlrjIwXMC+UyFKHPN86S0zpRW83/4QdJkF/7jnWMv2LOHifmll6xF4gTnpKpNTqbLBu5D6Tl0E7w==" saltValue="+7WrftCaSkbv7vUzkdo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ILLESCAS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277</v>
      </c>
      <c r="D10" s="452">
        <f>IF(ISNUMBER(C10/Datos!BH10),C10/Datos!BH10," - ")</f>
        <v>277</v>
      </c>
      <c r="E10" s="451">
        <f>IF(ISNUMBER(Datos!J10),Datos!J10," - ")</f>
        <v>37</v>
      </c>
      <c r="F10" s="452">
        <f>IF(ISNUMBER(E10/B10),E10/B10," - ")</f>
        <v>37</v>
      </c>
      <c r="G10" s="451">
        <f>IF(ISNUMBER(Datos!K10),Datos!K10," - ")</f>
        <v>40</v>
      </c>
      <c r="H10" s="452">
        <f>IF(ISNUMBER(G10/B10),G10/B10," - ")</f>
        <v>40</v>
      </c>
      <c r="I10" s="451">
        <f>IF(ISNUMBER(Datos!L10),Datos!L10," - ")</f>
        <v>257</v>
      </c>
      <c r="J10" s="452">
        <f>IF(ISNUMBER(I10/B10),I10/B10," - ")</f>
        <v>257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12066</v>
      </c>
      <c r="D12" s="452">
        <f>IF(ISNUMBER(C12/Datos!BH12),C12/Datos!BH12," - ")</f>
        <v>1723.7142857142858</v>
      </c>
      <c r="E12" s="451">
        <f>IF(ISNUMBER(IF(J_V="SI",Datos!J12,Datos!J12+Datos!Z12)),IF(J_V="SI",Datos!J12,Datos!J12+Datos!Z12)," - ")</f>
        <v>2580</v>
      </c>
      <c r="F12" s="452">
        <f>IF(ISNUMBER(E12/B12),E12/B12," - ")</f>
        <v>368.57142857142856</v>
      </c>
      <c r="G12" s="451">
        <f>IF(ISNUMBER(IF(J_V="SI",Datos!K12,Datos!K12+Datos!AA12)),IF(J_V="SI",Datos!K12,Datos!K12+Datos!AA12)," - ")</f>
        <v>2101</v>
      </c>
      <c r="H12" s="452">
        <f>IF(ISNUMBER(G12/B12),G12/B12," - ")</f>
        <v>300.14285714285717</v>
      </c>
      <c r="I12" s="451">
        <f>IF(ISNUMBER(IF(J_V="SI",Datos!L12,Datos!L12+Datos!AB12)),IF(J_V="SI",Datos!L12,Datos!L12+Datos!AB12)," - ")</f>
        <v>12545</v>
      </c>
      <c r="J12" s="452">
        <f>IF(ISNUMBER(I12/B12),I12/B12," - ")</f>
        <v>1792.1428571428571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12343</v>
      </c>
      <c r="D14" s="1147" t="str">
        <f>IF(ISNUMBER(C14/Datos!BI14),C14/Datos!BI14," - ")</f>
        <v xml:space="preserve"> - </v>
      </c>
      <c r="E14" s="1146">
        <f>SUBTOTAL(9,E8:E13)</f>
        <v>2617</v>
      </c>
      <c r="F14" s="1147">
        <f>IF(ISNUMBER(E14/B14),E14/B14," - ")</f>
        <v>373.85714285714283</v>
      </c>
      <c r="G14" s="1146">
        <f>SUBTOTAL(9,G8:G13)</f>
        <v>2141</v>
      </c>
      <c r="H14" s="1147">
        <f>IF(ISNUMBER(G14/B14),G14/B14," - ")</f>
        <v>305.85714285714283</v>
      </c>
      <c r="I14" s="1146">
        <f>SUBTOTAL(9,I8:I13)</f>
        <v>12802</v>
      </c>
      <c r="J14" s="1147">
        <f>IF(ISNUMBER(I14/B14),I14/B14," - ")</f>
        <v>1828.8571428571429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5623</v>
      </c>
      <c r="D17" s="452">
        <f>IF(ISNUMBER(C17/Datos!BH17),C17/Datos!BH17," - ")</f>
        <v>803.28571428571433</v>
      </c>
      <c r="E17" s="451">
        <f>IF(ISNUMBER(IF(D_I="SI",Datos!J17,Datos!J17+Datos!AD17)),IF(D_I="SI",Datos!J17,Datos!J17+Datos!AD17)," - ")</f>
        <v>1760</v>
      </c>
      <c r="F17" s="452">
        <f>IF(ISNUMBER(E17/B17),E17/B17," - ")</f>
        <v>251.42857142857142</v>
      </c>
      <c r="G17" s="451">
        <f>IF(ISNUMBER(IF(D_I="SI",Datos!K17,Datos!K17+Datos!AE17)),IF(D_I="SI",Datos!K17,Datos!K17+Datos!AE17)," - ")</f>
        <v>1396</v>
      </c>
      <c r="H17" s="452">
        <f>IF(ISNUMBER(G17/B17),G17/B17," - ")</f>
        <v>199.42857142857142</v>
      </c>
      <c r="I17" s="451">
        <f>IF(ISNUMBER(IF(D_I="SI",Datos!L17,Datos!L17+Datos!AF17)),IF(D_I="SI",Datos!L17,Datos!L17+Datos!AF17)," - ")</f>
        <v>5679</v>
      </c>
      <c r="J17" s="452">
        <f>IF(ISNUMBER(I17/B17),I17/B17," - ")</f>
        <v>811.28571428571433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659</v>
      </c>
      <c r="D18" s="452">
        <f>IF(ISNUMBER(C18/Datos!BH18),C18/Datos!BH18," - ")</f>
        <v>659</v>
      </c>
      <c r="E18" s="451">
        <f>IF(ISNUMBER(IF(D_I="SI",Datos!J18,Datos!J18+Datos!AD18)),IF(D_I="SI",Datos!J18,Datos!J18+Datos!AD18)," - ")</f>
        <v>232</v>
      </c>
      <c r="F18" s="452">
        <f>IF(ISNUMBER(E18/B18),E18/B18," - ")</f>
        <v>232</v>
      </c>
      <c r="G18" s="451">
        <f>IF(ISNUMBER(IF(D_I="SI",Datos!K18,Datos!K18+Datos!AE18)),IF(D_I="SI",Datos!K18,Datos!K18+Datos!AE18)," - ")</f>
        <v>179</v>
      </c>
      <c r="H18" s="452">
        <f>IF(ISNUMBER(G18/B18),G18/B18," - ")</f>
        <v>179</v>
      </c>
      <c r="I18" s="451">
        <f>IF(ISNUMBER(IF(D_I="SI",Datos!L18,Datos!L18+Datos!AF18)),IF(D_I="SI",Datos!L18,Datos!L18+Datos!AF18)," - ")</f>
        <v>712</v>
      </c>
      <c r="J18" s="452">
        <f>IF(ISNUMBER(I18/B18),I18/B18," - ")</f>
        <v>712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6282</v>
      </c>
      <c r="D23" s="1147" t="str">
        <f>IF(ISNUMBER(C23/Datos!BI23),C23/Datos!BI23," - ")</f>
        <v xml:space="preserve"> - </v>
      </c>
      <c r="E23" s="1146">
        <f>SUBTOTAL(9,E15:E22)</f>
        <v>1992</v>
      </c>
      <c r="F23" s="1147">
        <f>IF(ISNUMBER(E23/B23),E23/B23," - ")</f>
        <v>284.57142857142856</v>
      </c>
      <c r="G23" s="1146">
        <f>SUBTOTAL(9,G15:G22)</f>
        <v>1575</v>
      </c>
      <c r="H23" s="1147">
        <f>IF(ISNUMBER(G23/B23),G23/B23," - ")</f>
        <v>225</v>
      </c>
      <c r="I23" s="1146">
        <f>SUBTOTAL(9,I15:I22)</f>
        <v>6391</v>
      </c>
      <c r="J23" s="1147">
        <f>IF(ISNUMBER(I23/B23),I23/B23," - ")</f>
        <v>913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18625</v>
      </c>
      <c r="D31" s="1085" t="str">
        <f>IF(ISNUMBER(C31/Datos!BI31),C31/Datos!BI31," - ")</f>
        <v xml:space="preserve"> - </v>
      </c>
      <c r="E31" s="1084">
        <f>SUBTOTAL(9,E9:E30)</f>
        <v>4609</v>
      </c>
      <c r="F31" s="1085">
        <f>IF(ISNUMBER(E31/B31),E31/B31," - ")</f>
        <v>658.42857142857144</v>
      </c>
      <c r="G31" s="1084">
        <f>SUBTOTAL(9,G9:G30)</f>
        <v>3716</v>
      </c>
      <c r="H31" s="1085">
        <f>IF(ISNUMBER(G31/B31),G31/B31," - ")</f>
        <v>530.85714285714289</v>
      </c>
      <c r="I31" s="1084">
        <f>SUBTOTAL(9,I9:I30)</f>
        <v>19193</v>
      </c>
      <c r="J31" s="1085">
        <f>IF(ISNUMBER(I31/B31),I31/B31," - ")</f>
        <v>2741.8571428571427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wRBBU5gukxfFOY/1NoDaLXsXCjxgav7s+c0fgjeN/o7PgoZ8MbZ2gWtZp/UPcLeK4U5pSZ3iU1diUg2EoSkNg==" saltValue="jm1fNB1ZgKUokA66nF4W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ILLESCAS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260</v>
      </c>
      <c r="G10" s="906">
        <f>IF(ISNUMBER(Datos!I10),Datos!I10," - ")</f>
        <v>277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257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19.274999999999999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15974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352</v>
      </c>
      <c r="AM12" s="914">
        <f>IF(ISNUMBER(Datos!N12+DatosP!N17),Datos!N12+DatosP!N17," - ")</f>
        <v>661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17.912898619704904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1.7711518858307847E-2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260</v>
      </c>
      <c r="G14" s="1256">
        <f t="shared" si="0"/>
        <v>277</v>
      </c>
      <c r="H14" s="1256">
        <f t="shared" si="0"/>
        <v>0</v>
      </c>
      <c r="I14" s="1258">
        <f t="shared" si="0"/>
        <v>0</v>
      </c>
      <c r="J14" s="1257">
        <f t="shared" si="0"/>
        <v>0</v>
      </c>
      <c r="K14" s="1257">
        <f t="shared" si="0"/>
        <v>0</v>
      </c>
      <c r="L14" s="1259">
        <f t="shared" si="0"/>
        <v>0</v>
      </c>
      <c r="M14" s="1259">
        <f t="shared" si="0"/>
        <v>0</v>
      </c>
      <c r="N14" s="1257">
        <f t="shared" si="0"/>
        <v>531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242</v>
      </c>
      <c r="AE14" s="1257">
        <f t="shared" si="1"/>
        <v>0</v>
      </c>
      <c r="AF14" s="1257">
        <f t="shared" si="1"/>
        <v>257</v>
      </c>
      <c r="AG14" s="1257">
        <f t="shared" si="1"/>
        <v>0</v>
      </c>
      <c r="AH14" s="1257">
        <f t="shared" si="1"/>
        <v>15974</v>
      </c>
      <c r="AI14" s="1257">
        <f t="shared" si="1"/>
        <v>0</v>
      </c>
      <c r="AJ14" s="1257">
        <f t="shared" si="1"/>
        <v>0</v>
      </c>
      <c r="AK14" s="1257">
        <f t="shared" si="1"/>
        <v>0</v>
      </c>
      <c r="AL14" s="1257">
        <f t="shared" si="1"/>
        <v>378</v>
      </c>
      <c r="AM14" s="1257">
        <f t="shared" si="1"/>
        <v>668</v>
      </c>
      <c r="AN14" s="1257">
        <f t="shared" si="1"/>
        <v>0</v>
      </c>
      <c r="AO14" s="1257">
        <f t="shared" si="1"/>
        <v>0</v>
      </c>
      <c r="AP14" s="1262">
        <f>IF(ISNUMBER(((Datos!L14/Datos!K14)*11)/factor_trimestre),((Datos!L14/Datos!K14)*11)/factor_trimestre," - ")</f>
        <v>18.606858846918488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1.7711518858307847E-2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12.173333333333334</v>
      </c>
      <c r="AQ23" s="1262">
        <f>IF(ISNUMBER(((Datos!M23/Datos!L23)*11)/factor_trimestre),((Datos!M23/Datos!L23)*11)/factor_trimestre," - ")</f>
        <v>0.10984196526365203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8.6455331412103754E-3</v>
      </c>
      <c r="AW23" s="1265">
        <f>IF(ISNUMBER((Datos!Q23-Datos!R23)/(Datos!S23-Datos!Q23+Datos!R23)),(Datos!Q23-Datos!R23)/(Datos!S23-Datos!Q23+Datos!R23)," - ")</f>
        <v>-6.1905616364615106E-2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260</v>
      </c>
      <c r="G31" s="1278">
        <f t="shared" si="8"/>
        <v>277</v>
      </c>
      <c r="H31" s="1278">
        <f t="shared" si="8"/>
        <v>0</v>
      </c>
      <c r="I31" s="1279">
        <f t="shared" si="8"/>
        <v>0</v>
      </c>
      <c r="J31" s="1280">
        <f t="shared" si="8"/>
        <v>0</v>
      </c>
      <c r="K31" s="1280">
        <f t="shared" si="8"/>
        <v>0</v>
      </c>
      <c r="L31" s="1280">
        <f t="shared" si="8"/>
        <v>0</v>
      </c>
      <c r="M31" s="1280">
        <f t="shared" si="8"/>
        <v>0</v>
      </c>
      <c r="N31" s="1279">
        <f t="shared" si="8"/>
        <v>531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242</v>
      </c>
      <c r="AE31" s="1284">
        <f t="shared" si="9"/>
        <v>0</v>
      </c>
      <c r="AF31" s="1285">
        <f t="shared" si="9"/>
        <v>257</v>
      </c>
      <c r="AG31" s="1285">
        <f t="shared" si="9"/>
        <v>0</v>
      </c>
      <c r="AH31" s="1285">
        <f t="shared" si="9"/>
        <v>15974</v>
      </c>
      <c r="AI31" s="1285">
        <f t="shared" si="9"/>
        <v>0</v>
      </c>
      <c r="AJ31" s="1286">
        <f t="shared" si="9"/>
        <v>0</v>
      </c>
      <c r="AK31" s="1286">
        <f t="shared" si="9"/>
        <v>0</v>
      </c>
      <c r="AL31" s="1278">
        <f t="shared" si="9"/>
        <v>378</v>
      </c>
      <c r="AM31" s="1278">
        <f t="shared" si="9"/>
        <v>668</v>
      </c>
      <c r="AN31" s="1278">
        <f t="shared" si="9"/>
        <v>0</v>
      </c>
      <c r="AO31" s="1278">
        <f t="shared" si="9"/>
        <v>0</v>
      </c>
      <c r="AP31" s="1278">
        <f>IF(ISNUMBER(((Datos!L31/Datos!K31)*11)/factor_trimestre),((Datos!L31/Datos!K31)*11)/factor_trimestre," - ")</f>
        <v>15.781990521327016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1.7616261164151523E-2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142.40786495134319</v>
      </c>
      <c r="G33" s="1007">
        <f>IF(ISNUMBER(STDEV(G8:G30)),STDEV(G8:G30),"-")</f>
        <v>151.71914842893102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185.58448210990056</v>
      </c>
      <c r="AM33" s="1006"/>
      <c r="AN33" s="1006">
        <f>IF(ISNUMBER(STDEV(AN8:AN30)),STDEV(AN8:AN30),"-")</f>
        <v>0</v>
      </c>
      <c r="AO33" s="1012">
        <f>IF(ISNUMBER(STDEV(AO8:AO30)),STDEV(AO8:AO30),"-")</f>
        <v>0</v>
      </c>
      <c r="AP33" s="1065">
        <f>IF(ISNUMBER(STDEV(AP8:AP30)),STDEV(AP8:AP30),"-")</f>
        <v>3.2602382737886151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2v5xgT91dV3Q+N+u9dvp7qr0DlzDshWAjen5tmWYb5RSLkWip50HW5Bzhjal+WdfLesEP1c3I6pHgffD1ZE7g==" saltValue="FTTlXbpy/ctwAh7Co1KX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ILLESCAS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ojFs6gUVsy+9D7YWoa1vgNNETTGVwyfzD6w5HuyZXJFWn0e5RfaJxOXj09bnz/cU7F2+CWE448sJTTuCwhhNw==" saltValue="FbZ60nG6968oDn1mDwaf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ILLESCAS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26</v>
      </c>
      <c r="E10" s="452">
        <f>IF(ISNUMBER(D10/B10),D10/B10," - ")</f>
        <v>26</v>
      </c>
      <c r="F10" s="451">
        <f>IF(ISNUMBER(Datos!N10),Datos!N10," - ")</f>
        <v>7</v>
      </c>
      <c r="G10" s="452">
        <f>IF(ISNUMBER(F10/B10),F10/B10," - ")</f>
        <v>7</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352</v>
      </c>
      <c r="E12" s="452">
        <f t="shared" si="0"/>
        <v>50.285714285714285</v>
      </c>
      <c r="F12" s="451">
        <f>IF(ISNUMBER(Datos!N12),Datos!N12," - ")</f>
        <v>661</v>
      </c>
      <c r="G12" s="452">
        <f t="shared" si="1"/>
        <v>94.428571428571431</v>
      </c>
      <c r="H12" s="451">
        <f>IF(ISNUMBER(Datos!O12),Datos!O12," - ")</f>
        <v>887</v>
      </c>
      <c r="I12" s="452">
        <f t="shared" si="2"/>
        <v>126.71428571428571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378</v>
      </c>
      <c r="E14" s="1147">
        <f t="shared" si="0"/>
        <v>47.25</v>
      </c>
      <c r="F14" s="1146">
        <f>SUBTOTAL(9,F9:F13)</f>
        <v>668</v>
      </c>
      <c r="G14" s="1147">
        <f t="shared" si="1"/>
        <v>83.5</v>
      </c>
      <c r="H14" s="1146">
        <f>SUBTOTAL(9,H9:H13)</f>
        <v>898</v>
      </c>
      <c r="I14" s="1147">
        <f>IF(ISNUMBER(H14/B14),H14/B14," - ")</f>
        <v>112.25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219</v>
      </c>
      <c r="E17" s="452">
        <f t="shared" si="3"/>
        <v>31.285714285714285</v>
      </c>
      <c r="F17" s="451">
        <f>IF(ISNUMBER(Datos!N17),Datos!N17," - ")</f>
        <v>909</v>
      </c>
      <c r="G17" s="452">
        <f t="shared" si="4"/>
        <v>129.85714285714286</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170</v>
      </c>
      <c r="G18" s="452">
        <f>IF(ISNUMBER(F18/B18),F18/B18," - ")</f>
        <v>170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234</v>
      </c>
      <c r="E23" s="1147">
        <f t="shared" si="3"/>
        <v>29.25</v>
      </c>
      <c r="F23" s="1146">
        <f>SUBTOTAL(9,F16:F22)</f>
        <v>1079</v>
      </c>
      <c r="G23" s="1147">
        <f t="shared" si="4"/>
        <v>134.875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612</v>
      </c>
      <c r="E31" s="1085">
        <f>IF(ISNUMBER(D31/B31),D31/B31," - ")</f>
        <v>87.428571428571431</v>
      </c>
      <c r="F31" s="1084">
        <f>SUBTOTAL(9,F8:F30)</f>
        <v>1747</v>
      </c>
      <c r="G31" s="1085">
        <f>IF(ISNUMBER(F31/B31),F31/B31," - ")</f>
        <v>249.57142857142858</v>
      </c>
      <c r="H31" s="1084">
        <f>SUBTOTAL(9,H8:H30)</f>
        <v>898</v>
      </c>
      <c r="I31" s="1085">
        <f>IF(ISNUMBER(H31/B31),H31/B31," - ")</f>
        <v>128.28571428571428</v>
      </c>
    </row>
    <row r="34" spans="1:1">
      <c r="A34" s="439" t="str">
        <f>Criterios!A4</f>
        <v>Fecha Informe: 05 may. 2023</v>
      </c>
    </row>
    <row r="39" spans="1:1">
      <c r="A39" s="462"/>
    </row>
  </sheetData>
  <sheetProtection algorithmName="SHA-512" hashValue="S3GWRHOJiR4xLm+q9q5gJ5YnLR7dBrKD7+0p4dTQUMAvHuDWhonwbq+Y+o1/EbNSfmgZTCGjhxfFqKTpqVr8SA==" saltValue="qrK2QMbk2539JSwphxr1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ILLESCAS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6</v>
      </c>
      <c r="D10" s="456">
        <f>IF(ISNUMBER(Datos!R10),Datos!R10," - ")</f>
        <v>197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520</v>
      </c>
      <c r="C12" s="489">
        <f>IF(ISNUMBER(Datos!Q12),Datos!Q12," - ")</f>
        <v>242</v>
      </c>
      <c r="D12" s="456">
        <f>IF(ISNUMBER(Datos!R12),Datos!R12," - ")</f>
        <v>15974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531</v>
      </c>
      <c r="C14" s="1150">
        <f>SUBTOTAL(9,C9:C13)</f>
        <v>248</v>
      </c>
      <c r="D14" s="1148">
        <f>SUBTOTAL(9,D9:D13)</f>
        <v>16171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5</v>
      </c>
      <c r="D17" s="456">
        <f>IF(ISNUMBER(Datos!R17),Datos!R17," - ")</f>
        <v>345</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5</v>
      </c>
      <c r="D23" s="1148">
        <f>SUBTOTAL(9,D16:D22)</f>
        <v>350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539</v>
      </c>
      <c r="C31" s="1089">
        <f>SUBTOTAL(9,C8:C30)</f>
        <v>253</v>
      </c>
      <c r="D31" s="1090">
        <f>SUBTOTAL(9,D8:D30)</f>
        <v>16521</v>
      </c>
    </row>
    <row r="32" spans="1:4" ht="7.5" customHeight="1"/>
    <row r="33" spans="1:1" ht="6" customHeight="1"/>
    <row r="34" spans="1:1">
      <c r="A34" s="439" t="str">
        <f>Criterios!A4</f>
        <v>Fecha Informe: 05 may. 2023</v>
      </c>
    </row>
    <row r="39" spans="1:1">
      <c r="A39" s="462"/>
    </row>
  </sheetData>
  <sheetProtection algorithmName="SHA-512" hashValue="KWhzpqVVZfjEjszYHPnteOdGZXC7FEndohSWjloDKPGTKqC6qQzFsyflOUtKMAltoNBdnVxLYMoxAPD/qgmlUQ==" saltValue="v5WJzpmJ03OZF5ZKkvDa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ILLESCAS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0.30046948356807512</v>
      </c>
      <c r="C10" s="515">
        <f>IF(ISNUMBER((Datos!J10-Datos!T10)/Datos!T10),(Datos!J10-Datos!T10)/Datos!T10," - ")</f>
        <v>-0.421875</v>
      </c>
      <c r="D10" s="515">
        <f>IF(ISNUMBER((Datos!K10-Datos!U10)/Datos!U10),(Datos!K10-Datos!U10)/Datos!U10," - ")</f>
        <v>-9.0909090909090912E-2</v>
      </c>
      <c r="E10" s="515">
        <f>IF(ISNUMBER((Datos!L10-Datos!V10)/Datos!V10),(Datos!L10-Datos!V10)/Datos!V10," - ")</f>
        <v>0.10300429184549356</v>
      </c>
      <c r="F10" s="515">
        <f>IF(ISNUMBER((Datos!M10-Datos!W10)/Datos!W10),(Datos!M10-Datos!W10)/Datos!W10," - ")</f>
        <v>0</v>
      </c>
      <c r="G10" s="516">
        <f>IF(ISNUMBER((Datos!N10-Datos!X10)/Datos!X10),(Datos!N10-Datos!X10)/Datos!X10," - ")</f>
        <v>-0.3</v>
      </c>
      <c r="H10" s="514">
        <f>IF(ISNUMBER(((NºAsuntos!G10/NºAsuntos!E10)-Datos!BD10)/Datos!BD10),((NºAsuntos!G10/NºAsuntos!E10)-Datos!BD10)/Datos!BD10," - ")</f>
        <v>0.57248157248157261</v>
      </c>
      <c r="I10" s="515">
        <f>IF(ISNUMBER(((NºAsuntos!I10/NºAsuntos!G10)-Datos!BE10)/Datos!BE10),((NºAsuntos!I10/NºAsuntos!G10)-Datos!BE10)/Datos!BE10," - ")</f>
        <v>0.2133047210300428</v>
      </c>
      <c r="J10" s="521">
        <f>IF(ISNUMBER((('Resol  Asuntos'!D10/NºAsuntos!G10)-Datos!BF10)/Datos!BF10),(('Resol  Asuntos'!D10/NºAsuntos!G10)-Datos!BF10)/Datos!BF10," - ")</f>
        <v>9.9999999999999978E-2</v>
      </c>
      <c r="K10" s="522">
        <f>IF(ISNUMBER((((NºAsuntos!C10+NºAsuntos!E10)/NºAsuntos!G10)-Datos!BG10)/Datos!BG10),(((NºAsuntos!C10+NºAsuntos!E10)/NºAsuntos!G10)-Datos!BG10)/Datos!BG10," - ")</f>
        <v>0.24693140794223814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0.47704737421961074</v>
      </c>
      <c r="C12" s="515">
        <f>IF(ISNUMBER(
   IF(J_V="SI",(Datos!J12-Datos!T12)/Datos!T12,(Datos!J12+Datos!Z12-(Datos!T12+Datos!AH12))/(Datos!T12+Datos!AH12))
     ),IF(J_V="SI",(Datos!J12-Datos!T12)/Datos!T12,(Datos!J12+Datos!Z12-(Datos!T12+Datos!AH12))/(Datos!T12+Datos!AH12))," - ")</f>
        <v>5.8244462674323219E-2</v>
      </c>
      <c r="D12" s="515">
        <f>IF(ISNUMBER(
   IF(J_V="SI",(Datos!K12-Datos!U12)/Datos!U12,(Datos!K12+Datos!AA12-(Datos!U12+Datos!AI12))/(Datos!U12+Datos!AI12))
     ),IF(J_V="SI",(Datos!K12-Datos!U12)/Datos!U12,(Datos!K12+Datos!AA12-(Datos!U12+Datos!AI12))/(Datos!U12+Datos!AI12))," - ")</f>
        <v>0.16334440753045404</v>
      </c>
      <c r="E12" s="515">
        <f>IF(ISNUMBER(
   IF(J_V="SI",(Datos!L12-Datos!V12)/Datos!V12,(Datos!L12+Datos!AB12-(Datos!V12+Datos!AJ12))/(Datos!V12+Datos!AJ12))
     ),IF(J_V="SI",(Datos!L12-Datos!V12)/Datos!V12,(Datos!L12+Datos!AB12-(Datos!V12+Datos!AJ12))/(Datos!V12+Datos!AJ12))," - ")</f>
        <v>0.42233560090702948</v>
      </c>
      <c r="F12" s="515">
        <f>IF(ISNUMBER((Datos!M12-Datos!W12)/Datos!W12),(Datos!M12-Datos!W12)/Datos!W12," - ")</f>
        <v>1.1494252873563218E-2</v>
      </c>
      <c r="G12" s="516">
        <f>IF(ISNUMBER((Datos!N12-Datos!X12)/Datos!X12),(Datos!N12-Datos!X12)/Datos!X12," - ")</f>
        <v>-5.300859598853868E-2</v>
      </c>
      <c r="H12" s="514">
        <f>IF(ISNUMBER(((NºAsuntos!G12/NºAsuntos!E12)-Datos!BD12)/Datos!BD12),((NºAsuntos!G12/NºAsuntos!E12)-Datos!BD12)/Datos!BD12," - ")</f>
        <v>9.9315374247770191E-2</v>
      </c>
      <c r="I12" s="515">
        <f>IF(ISNUMBER(((NºAsuntos!I12/NºAsuntos!G12)-Datos!BE12)/Datos!BE12),((NºAsuntos!I12/NºAsuntos!G12)-Datos!BE12)/Datos!BE12," - ")</f>
        <v>0.22262641372589023</v>
      </c>
      <c r="J12" s="521">
        <f>IF(ISNUMBER((('Resol  Asuntos'!D12/NºAsuntos!G12)-Datos!BF12)/Datos!BF12),(('Resol  Asuntos'!D12/NºAsuntos!G12)-Datos!BF12)/Datos!BF12," - ")</f>
        <v>-0.5665101486670967</v>
      </c>
      <c r="K12" s="522">
        <f>IF(ISNUMBER((((NºAsuntos!C12+NºAsuntos!E12)/NºAsuntos!G12)-Datos!BG12)/Datos!BG12),(((NºAsuntos!C12+NºAsuntos!E12)/NºAsuntos!G12)-Datos!BG12)/Datos!BG12," - ")</f>
        <v>0.18691099925165933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0.47256024815079933</v>
      </c>
      <c r="C14" s="1152">
        <f>IF(ISNUMBER(
   IF(J_V="SI",(Datos!J14-Datos!T14)/Datos!T14,(Datos!J14+Datos!Z14-(Datos!T14+Datos!AH14))/(Datos!T14+Datos!AH14))
     ),IF(J_V="SI",(Datos!J14-Datos!T14)/Datos!T14,(Datos!J14+Datos!Z14-(Datos!T14+Datos!AH14))/(Datos!T14+Datos!AH14))," - ")</f>
        <v>4.5963229416466828E-2</v>
      </c>
      <c r="D14" s="1152">
        <f>IF(ISNUMBER(
   IF(J_V="SI",(Datos!K14-Datos!U14)/Datos!U14,(Datos!K14+Datos!AA14-(Datos!U14+Datos!AI14))/(Datos!U14+Datos!AI14))
     ),IF(J_V="SI",(Datos!K14-Datos!U14)/Datos!U14,(Datos!K14+Datos!AA14-(Datos!U14+Datos!AI14))/(Datos!U14+Datos!AI14))," - ")</f>
        <v>0.1572972972972973</v>
      </c>
      <c r="E14" s="1152">
        <f>IF(ISNUMBER(
   IF(J_V="SI",(Datos!L14-Datos!V14)/Datos!V14,(Datos!L14+Datos!AB14-(Datos!V14+Datos!AJ14))/(Datos!V14+Datos!AJ14))
     ),IF(J_V="SI",(Datos!L14-Datos!V14)/Datos!V14,(Datos!L14+Datos!AB14-(Datos!V14+Datos!AJ14))/(Datos!V14+Datos!AJ14))," - ")</f>
        <v>0.41411686733679443</v>
      </c>
      <c r="F14" s="1153">
        <f>IF(ISNUMBER((Datos!M14-Datos!W14)/Datos!W14),(Datos!M14-Datos!W14)/Datos!W14," - ")</f>
        <v>1.06951871657754E-2</v>
      </c>
      <c r="G14" s="1154">
        <f>IF(ISNUMBER((Datos!N14-Datos!X14)/Datos!X14),(Datos!N14-Datos!X14)/Datos!X14," - ")</f>
        <v>-5.6497175141242938E-2</v>
      </c>
      <c r="H14" s="1154">
        <f>IF(ISNUMBER(((NºAsuntos!G14/NºAsuntos!E14)-Datos!BD14)/Datos!BD14),((NºAsuntos!G14/NºAsuntos!E14)-Datos!BD14)/Datos!BD14," - ")</f>
        <v>0.10644166520360637</v>
      </c>
      <c r="I14" s="1154">
        <f>IF(ISNUMBER(((NºAsuntos!I14/NºAsuntos!G14)-Datos!BE14)/Datos!BE14),((NºAsuntos!I14/NºAsuntos!G14)-Datos!BE14)/Datos!BE14," - ")</f>
        <v>0.22191322025832294</v>
      </c>
      <c r="J14" s="1154">
        <f>IF(ISNUMBER((('Resol  Asuntos'!D14/NºAsuntos!G14)-Datos!BF14)/Datos!BF14),(('Resol  Asuntos'!D14/NºAsuntos!G14)-Datos!BF14)/Datos!BF14," - ")</f>
        <v>-0.54886315838367461</v>
      </c>
      <c r="K14" s="1154">
        <f>IF(ISNUMBER((((NºAsuntos!C14+NºAsuntos!E14)/NºAsuntos!G14)-Datos!BG14)/Datos!BG14),(((NºAsuntos!C14+NºAsuntos!E14)/NºAsuntos!G14)-Datos!BG14)/Datos!BG14," - ")</f>
        <v>0.18767638556380123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0.22826561817387506</v>
      </c>
      <c r="C17" s="515">
        <f>IF(ISNUMBER(
   IF(D_I="SI",(Datos!J17-Datos!T17)/Datos!T17,(Datos!J17+Datos!AD17-(Datos!T17+Datos!AL17))/(Datos!T17+Datos!AL17))
     ),IF(D_I="SI",(Datos!J17-Datos!T17)/Datos!T17,(Datos!J17+Datos!AD17-(Datos!T17+Datos!AL17))/(Datos!T17+Datos!AL17))," - ")</f>
        <v>-0.1151332327802916</v>
      </c>
      <c r="D17" s="515">
        <f>IF(ISNUMBER(
   IF(D_I="SI",(Datos!K17-Datos!U17)/Datos!U17,(Datos!K17+Datos!AE17-(Datos!U17+Datos!AM17))/(Datos!U17+Datos!AM17))
     ),IF(D_I="SI",(Datos!K17-Datos!U17)/Datos!U17,(Datos!K17+Datos!AE17-(Datos!U17+Datos!AM17))/(Datos!U17+Datos!AM17))," - ")</f>
        <v>-0.19399538106235567</v>
      </c>
      <c r="E17" s="515">
        <f>IF(ISNUMBER(
   IF(D_I="SI",(Datos!L17-Datos!V17)/Datos!V17,(Datos!L17+Datos!AF17-(Datos!V17+Datos!AN17))/(Datos!V17+Datos!AN17))
     ),IF(D_I="SI",(Datos!L17-Datos!V17)/Datos!V17,(Datos!L17+Datos!AF17-(Datos!V17+Datos!AN17))/(Datos!V17+Datos!AN17))," - ")</f>
        <v>0.17699481865284974</v>
      </c>
      <c r="F17" s="515">
        <f>IF(ISNUMBER((Datos!M17-Datos!W17)/Datos!W17),(Datos!M17-Datos!W17)/Datos!W17," - ")</f>
        <v>9.2165898617511521E-3</v>
      </c>
      <c r="G17" s="516">
        <f>IF(ISNUMBER((Datos!N17-Datos!X17)/Datos!X17),(Datos!N17-Datos!X17)/Datos!X17," - ")</f>
        <v>-0.18621307072515667</v>
      </c>
      <c r="H17" s="514">
        <f>IF(ISNUMBER(((NºAsuntos!G17/NºAsuntos!E17)-Datos!BD17)/Datos!BD17),((NºAsuntos!G17/NºAsuntos!E17)-Datos!BD17)/Datos!BD17," - ")</f>
        <v>-8.9123189166491687E-2</v>
      </c>
      <c r="I17" s="515">
        <f>IF(ISNUMBER(((NºAsuntos!I17/NºAsuntos!G17)-Datos!BE17)/Datos!BE17),((NºAsuntos!I17/NºAsuntos!G17)-Datos!BE17)/Datos!BE17," - ")</f>
        <v>0.46028296984723194</v>
      </c>
      <c r="J17" s="521">
        <f>IF(ISNUMBER((('Resol  Asuntos'!D17/NºAsuntos!G17)-Datos!BF17)/Datos!BF17),(('Resol  Asuntos'!D17/NºAsuntos!G17)-Datos!BF17)/Datos!BF17," - ")</f>
        <v>0.25212258856773123</v>
      </c>
      <c r="K17" s="522">
        <f>IF(ISNUMBER((((NºAsuntos!C17+NºAsuntos!E17)/NºAsuntos!G17)-Datos!BG17)/Datos!BG17),(((NºAsuntos!C17+NºAsuntos!E17)/NºAsuntos!G17)-Datos!BG17)/Datos!BG17," - ")</f>
        <v>0.39485261682206285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1.3846153846153847E-2</v>
      </c>
      <c r="C18" s="515">
        <f>IF(ISNUMBER(
   IF(D_I="SI",(Datos!J18-Datos!T18)/Datos!T18,(Datos!J18+Datos!AD18-(Datos!T18+Datos!AL18))/(Datos!T18+Datos!AL18))
     ),IF(D_I="SI",(Datos!J18-Datos!T18)/Datos!T18,(Datos!J18+Datos!AD18-(Datos!T18+Datos!AL18))/(Datos!T18+Datos!AL18))," - ")</f>
        <v>-2.9288702928870293E-2</v>
      </c>
      <c r="D18" s="515">
        <f>IF(ISNUMBER(
   IF(D_I="SI",(Datos!K18-Datos!U18)/Datos!U18,(Datos!K18+Datos!AE18-(Datos!U18+Datos!AM18))/(Datos!U18+Datos!AM18))
     ),IF(D_I="SI",(Datos!K18-Datos!U18)/Datos!U18,(Datos!K18+Datos!AE18-(Datos!U18+Datos!AM18))/(Datos!U18+Datos!AM18))," - ")</f>
        <v>-0.28685258964143429</v>
      </c>
      <c r="E18" s="515">
        <f>IF(ISNUMBER(
   IF(D_I="SI",(Datos!L18-Datos!V18)/Datos!V18,(Datos!L18+Datos!AF18-(Datos!V18+Datos!AN18))/(Datos!V18+Datos!AN18))
     ),IF(D_I="SI",(Datos!L18-Datos!V18)/Datos!V18,(Datos!L18+Datos!AF18-(Datos!V18+Datos!AN18))/(Datos!V18+Datos!AN18))," - ")</f>
        <v>0.11598746081504702</v>
      </c>
      <c r="F18" s="515">
        <f>IF(ISNUMBER((Datos!M18-Datos!W18)/Datos!W18),(Datos!M18-Datos!W18)/Datos!W18," - ")</f>
        <v>0</v>
      </c>
      <c r="G18" s="516">
        <f>IF(ISNUMBER((Datos!N18-Datos!X18)/Datos!X18),(Datos!N18-Datos!X18)/Datos!X18," - ")</f>
        <v>-0.17874396135265699</v>
      </c>
      <c r="H18" s="514">
        <f>IF(ISNUMBER(((NºAsuntos!G18/NºAsuntos!E18)-Datos!BD18)/Datos!BD18),((NºAsuntos!G18/NºAsuntos!E18)-Datos!BD18)/Datos!BD18," - ")</f>
        <v>-0.2653352108806154</v>
      </c>
      <c r="I18" s="515">
        <f>IF(ISNUMBER(((NºAsuntos!I18/NºAsuntos!G18)-Datos!BE18)/Datos!BE18),((NºAsuntos!I18/NºAsuntos!G18)-Datos!BE18)/Datos!BE18," - ")</f>
        <v>0.56487627186914413</v>
      </c>
      <c r="J18" s="521">
        <f>IF(ISNUMBER((('Resol  Asuntos'!D18/NºAsuntos!G18)-Datos!BF18)/Datos!BF18),(('Resol  Asuntos'!D18/NºAsuntos!G18)-Datos!BF18)/Datos!BF18," - ")</f>
        <v>0.40223463687150823</v>
      </c>
      <c r="K18" s="522">
        <f>IF(ISNUMBER((((NºAsuntos!C18+NºAsuntos!E18)/NºAsuntos!G18)-Datos!BG18)/Datos!BG18),(((NºAsuntos!C18+NºAsuntos!E18)/NºAsuntos!G18)-Datos!BG18)/Datos!BG18," - ")</f>
        <v>0.40538927047526874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0.20160673297628157</v>
      </c>
      <c r="C23" s="1152">
        <f>IF(ISNUMBER(
   IF(Criterios!B14="SI",(Datos!J23-Datos!T23)/Datos!T23,(Datos!J23+Datos!AD23-(Datos!T23+Datos!AL23))/(Datos!T23+Datos!AL23))
     ),IF(Criterios!B14="SI",(Datos!J23-Datos!T23)/Datos!T23,(Datos!J23+Datos!AD23-(Datos!T23+Datos!AL23))/(Datos!T23+Datos!AL23))," - ")</f>
        <v>-0.1059245960502693</v>
      </c>
      <c r="D23" s="1152">
        <f>IF(ISNUMBER(
   IF(Criterios!B14="SI",(Datos!K23-Datos!U23)/Datos!U23,(Datos!K23+Datos!AE23-(Datos!U23+Datos!AM23))/(Datos!U23+Datos!AM23))
     ),IF(Criterios!B14="SI",(Datos!K23-Datos!U23)/Datos!U23,(Datos!K23+Datos!AE23-(Datos!U23+Datos!AM23))/(Datos!U23+Datos!AM23))," - ")</f>
        <v>-0.20574886535552195</v>
      </c>
      <c r="E23" s="1152">
        <f>IF(ISNUMBER(
   IF(Criterios!B14="SI",(Datos!L23-Datos!V23)/Datos!V23,(Datos!L23+Datos!AF23-(Datos!V23+Datos!AN23))/(Datos!V23+Datos!AN23))
     ),IF(Criterios!B14="SI",(Datos!L23-Datos!V23)/Datos!V23,(Datos!L23+Datos!AF23-(Datos!V23+Datos!AN23))/(Datos!V23+Datos!AN23))," - ")</f>
        <v>0.16987003477942522</v>
      </c>
      <c r="F23" s="1153">
        <f>IF(ISNUMBER((Datos!M23-Datos!W23)/Datos!W23),(Datos!M23-Datos!W23)/Datos!W23," - ")</f>
        <v>8.6206896551724137E-3</v>
      </c>
      <c r="G23" s="1154">
        <f>IF(ISNUMBER((Datos!N23-Datos!X23)/Datos!X23),(Datos!N23-Datos!X23)/Datos!X23," - ")</f>
        <v>-0.18504531722054382</v>
      </c>
      <c r="H23" s="1154">
        <f>IF(ISNUMBER(((NºAsuntos!G23/NºAsuntos!E23)-Datos!BD23)/Datos!BD23),((NºAsuntos!G23/NºAsuntos!E23)-Datos!BD23)/Datos!BD23," - ")</f>
        <v>-0.11165083936350552</v>
      </c>
      <c r="I23" s="1154">
        <f>IF(ISNUMBER(((NºAsuntos!I23/NºAsuntos!G23)-Datos!BE23)/Datos!BE23),((NºAsuntos!I23/NºAsuntos!G23)-Datos!BE23)/Datos!BE23," - ")</f>
        <v>0.47292208188419077</v>
      </c>
      <c r="J23" s="1154">
        <f>IF(ISNUMBER((('Resol  Asuntos'!D23/NºAsuntos!G23)-Datos!BF23)/Datos!BF23),(('Resol  Asuntos'!D23/NºAsuntos!G23)-Datos!BF23)/Datos!BF23," - ")</f>
        <v>0.26990147783251228</v>
      </c>
      <c r="K23" s="1154">
        <f>IF(ISNUMBER((((NºAsuntos!C23+NºAsuntos!E23)/NºAsuntos!G23)-Datos!BG23)/Datos!BG23),(((NºAsuntos!C23+NºAsuntos!E23)/NºAsuntos!G23)-Datos!BG23)/Datos!BG23," - ")</f>
        <v>0.39717811158798277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0.36847905951506243</v>
      </c>
      <c r="C31" s="1092">
        <f>IF(ISNUMBER(
   IF(J_V="SI",(Datos!J31-Datos!T31)/Datos!T31,(Datos!J31+Datos!Z31-(Datos!T31+Datos!AH31))/(Datos!T31+Datos!AH31))
     ),IF(J_V="SI",(Datos!J31-Datos!T31)/Datos!T31,(Datos!J31+Datos!Z31-(Datos!T31+Datos!AH31))/(Datos!T31+Datos!AH31))," - ")</f>
        <v>-2.5581395348837209E-2</v>
      </c>
      <c r="D31" s="1092">
        <f>IF(ISNUMBER(
   IF(J_V="SI",(Datos!K31-Datos!U31)/Datos!U31,(Datos!K31+Datos!AA31-(Datos!U31+Datos!AI31))/(Datos!U31+Datos!AI31))
     ),IF(J_V="SI",(Datos!K31-Datos!U31)/Datos!U31,(Datos!K31+Datos!AA31-(Datos!U31+Datos!AI31))/(Datos!U31+Datos!AI31))," - ")</f>
        <v>-3.0524393425515262E-2</v>
      </c>
      <c r="E31" s="1092">
        <f>IF(ISNUMBER(
   IF(J_V="SI",(Datos!L31-Datos!V31)/Datos!V31,(Datos!L31+Datos!AB31-(Datos!V31+Datos!AJ31))/(Datos!V31+Datos!AJ31))
     ),IF(J_V="SI",(Datos!L31-Datos!V31)/Datos!V31,(Datos!L31+Datos!AB31-(Datos!V31+Datos!AJ31))/(Datos!V31+Datos!AJ31))," - ")</f>
        <v>0.32219619729953153</v>
      </c>
      <c r="F31" s="1093">
        <f>IF(ISNUMBER((Datos!M31-Datos!W31)/Datos!W31),(Datos!M31-Datos!W31)/Datos!W31," - ")</f>
        <v>9.9009900990099011E-3</v>
      </c>
      <c r="G31" s="1094">
        <f>IF(ISNUMBER((Datos!N31-Datos!X31)/Datos!X31),(Datos!N31-Datos!X31)/Datos!X31," - ")</f>
        <v>-0.14025590551181102</v>
      </c>
      <c r="H31" s="1095">
        <f>IF(ISNUMBER((Tasas!B31-Datos!BD31)/Datos!BD31),(Tasas!B31-Datos!BD31)/Datos!BD31," - ")</f>
        <v>-5.072766522605166E-3</v>
      </c>
      <c r="I31" s="1096">
        <f>IF(ISNUMBER((Tasas!C31-Datos!BE31)/Datos!BE31),(Tasas!C31-Datos!BE31)/Datos!BE31," - ")</f>
        <v>0.36382616368382803</v>
      </c>
      <c r="J31" s="1097">
        <f>IF(ISNUMBER((Tasas!D31-Datos!BF31)/Datos!BF31),(Tasas!D31-Datos!BF31)/Datos!BF31," - ")</f>
        <v>-0.33967666677175712</v>
      </c>
      <c r="K31" s="1097">
        <f>IF(ISNUMBER((Tasas!E31-Datos!BG31)/Datos!BG31),(Tasas!E31-Datos!BG31)/Datos!BG31," - ")</f>
        <v>0.30673573441735041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AA4rBg4KJ/I09DHqJChTfZMe2f+9/vibn6N/nTEzikocLa5joxxxOr7pKFb4nU6hS0kcQ0MN/aaNCsF7OqyZw==" saltValue="Y/Ywo+pUMPjRO/chazf+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ILLESCAS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1.0810810810810811</v>
      </c>
      <c r="C10" s="498">
        <f>IF(ISNUMBER(NºAsuntos!I10/NºAsuntos!G10),NºAsuntos!I10/NºAsuntos!G10," - ")</f>
        <v>6.4249999999999998</v>
      </c>
      <c r="D10" s="499">
        <f>IF(ISNUMBER('Resol  Asuntos'!D10/NºAsuntos!G10),'Resol  Asuntos'!D10/NºAsuntos!G10," - ")</f>
        <v>0.65</v>
      </c>
      <c r="E10" s="500">
        <f>IF(ISNUMBER((NºAsuntos!C10+NºAsuntos!E10)/NºAsuntos!G10),(NºAsuntos!C10+NºAsuntos!E10)/NºAsuntos!G10," - ")</f>
        <v>7.85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0.81434108527131788</v>
      </c>
      <c r="C12" s="498">
        <f>IF(ISNUMBER(NºAsuntos!I12/NºAsuntos!G12),NºAsuntos!I12/NºAsuntos!G12," - ")</f>
        <v>5.9709662065683009</v>
      </c>
      <c r="D12" s="499">
        <f>IF(ISNUMBER('Resol  Asuntos'!D12/NºAsuntos!G12),'Resol  Asuntos'!D12/NºAsuntos!G12," - ")</f>
        <v>0.16753926701570682</v>
      </c>
      <c r="E12" s="500">
        <f>IF(ISNUMBER((NºAsuntos!C12+NºAsuntos!E12)/NºAsuntos!G12),(NºAsuntos!C12+NºAsuntos!E12)/NºAsuntos!G12," - ")</f>
        <v>6.9709662065683009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0.81811234237676733</v>
      </c>
      <c r="C14" s="1156">
        <f>IF(ISNUMBER(NºAsuntos!I14/NºAsuntos!G14),NºAsuntos!I14/NºAsuntos!G14," - ")</f>
        <v>5.9794488556749181</v>
      </c>
      <c r="D14" s="1157">
        <f>IF(ISNUMBER('Resol  Asuntos'!D14/NºAsuntos!G14),'Resol  Asuntos'!D14/NºAsuntos!G14," - ")</f>
        <v>0.17655301261092948</v>
      </c>
      <c r="E14" s="1158">
        <f>IF(ISNUMBER((NºAsuntos!C14+NºAsuntos!E14)/NºAsuntos!G14),(NºAsuntos!C14+NºAsuntos!E14)/NºAsuntos!G14," - ")</f>
        <v>6.987389070527791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0.79318181818181821</v>
      </c>
      <c r="C17" s="498">
        <f>IF(ISNUMBER(NºAsuntos!I17/NºAsuntos!G17),NºAsuntos!I17/NºAsuntos!G17," - ")</f>
        <v>4.0680515759312321</v>
      </c>
      <c r="D17" s="499">
        <f>IF(ISNUMBER('Resol  Asuntos'!D17/NºAsuntos!G17),'Resol  Asuntos'!D17/NºAsuntos!G17," - ")</f>
        <v>0.15687679083094555</v>
      </c>
      <c r="E17" s="500">
        <f>IF(ISNUMBER((NºAsuntos!C17+NºAsuntos!E17)/NºAsuntos!G17),(NºAsuntos!C17+NºAsuntos!E17)/NºAsuntos!G17," - ")</f>
        <v>5.2886819484240686</v>
      </c>
      <c r="G17" s="523"/>
    </row>
    <row r="18" spans="1:7">
      <c r="A18" s="450" t="str">
        <f>Datos!A18</f>
        <v>Jdos. Violencia contra la mujer</v>
      </c>
      <c r="B18" s="497">
        <f>IF(ISNUMBER(NºAsuntos!G18/NºAsuntos!E18),NºAsuntos!G18/NºAsuntos!E18," - ")</f>
        <v>0.77155172413793105</v>
      </c>
      <c r="C18" s="498">
        <f>IF(ISNUMBER(NºAsuntos!I18/NºAsuntos!G18),NºAsuntos!I18/NºAsuntos!G18," - ")</f>
        <v>3.977653631284916</v>
      </c>
      <c r="D18" s="499">
        <f>IF(ISNUMBER('Resol  Asuntos'!D18/NºAsuntos!G18),'Resol  Asuntos'!D18/NºAsuntos!G18," - ")</f>
        <v>8.3798882681564241E-2</v>
      </c>
      <c r="E18" s="500">
        <f>IF(ISNUMBER((NºAsuntos!C18+NºAsuntos!E18)/NºAsuntos!G18),(NºAsuntos!C18+NºAsuntos!E18)/NºAsuntos!G18," - ")</f>
        <v>4.977653631284916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0.79066265060240959</v>
      </c>
      <c r="C23" s="1156">
        <f>IF(ISNUMBER(NºAsuntos!I23/NºAsuntos!G23),NºAsuntos!I23/NºAsuntos!G23," - ")</f>
        <v>4.0577777777777779</v>
      </c>
      <c r="D23" s="1159">
        <f>IF(ISNUMBER('Resol  Asuntos'!D23/NºAsuntos!G23),'Resol  Asuntos'!D23/NºAsuntos!G23," - ")</f>
        <v>0.14857142857142858</v>
      </c>
      <c r="E23" s="1158">
        <f>IF(ISNUMBER((NºAsuntos!C23+NºAsuntos!E23)/NºAsuntos!G23),(NºAsuntos!C23+NºAsuntos!E23)/NºAsuntos!G23," - ")</f>
        <v>5.253333333333333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0.80624864395747453</v>
      </c>
      <c r="C31" s="1099">
        <f>IF(ISNUMBER(NºAsuntos!I31/NºAsuntos!G31),NºAsuntos!I31/NºAsuntos!G31," - ")</f>
        <v>5.1649623250807322</v>
      </c>
      <c r="D31" s="1100">
        <f>IF(ISNUMBER('Resol  Asuntos'!D31/NºAsuntos!G31),'Resol  Asuntos'!D31/NºAsuntos!G31," - ")</f>
        <v>0.16469321851453175</v>
      </c>
      <c r="E31" s="1101">
        <f>IF(ISNUMBER((NºAsuntos!C31+NºAsuntos!E31)/NºAsuntos!G31),(NºAsuntos!C31+NºAsuntos!E31)/NºAsuntos!G31," - ")</f>
        <v>6.2524219590958019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tR51brv6s4lLkrbgRtuIbouMaPL92CirHo5Dn/VOOhZ6JlPvkyVF2xJtfOVjCYugO5zGYip6DBo7Rd3Ud/Vqw==" saltValue="VYET1iALXRPQKvQ5lUpG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ILLESCAS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260</v>
      </c>
      <c r="G10" s="373">
        <f>IF(ISNUMBER(Datos!I10),Datos!I10," - ")</f>
        <v>277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6</v>
      </c>
      <c r="Y10" s="374">
        <f t="shared" ref="Y10:Y13" si="0">SUM(W10:X10)</f>
        <v>46</v>
      </c>
      <c r="Z10" s="375" t="str">
        <f>IF(ISNUMBER(Datos!CC10),Datos!CC10," - ")</f>
        <v xml:space="preserve"> - </v>
      </c>
      <c r="AA10" s="372">
        <f>IF(ISNUMBER(Datos!L10),Datos!L10,"-")</f>
        <v>257</v>
      </c>
      <c r="AB10" s="374">
        <f>IF(ISNUMBER(Datos!R10),Datos!R10," - ")</f>
        <v>197</v>
      </c>
      <c r="AC10" s="374">
        <f t="shared" ref="AC10:AC13" si="1">IF(ISNUMBER(AA10+AB10),AA10+AB10," - ")</f>
        <v>454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1.0810810810810811</v>
      </c>
      <c r="AM10" s="284">
        <f>IF(ISNUMBER(((NºAsuntos!I10/NºAsuntos!G10)*11)/factor_trimestre),((NºAsuntos!I10/NºAsuntos!G10)*11)/factor_trimestre," - ")</f>
        <v>19.274999999999999</v>
      </c>
      <c r="AN10" s="267">
        <f>IF(ISNUMBER('Resol  Asuntos'!D10/NºAsuntos!G10),'Resol  Asuntos'!D10/NºAsuntos!G10," - ")</f>
        <v>0.65</v>
      </c>
      <c r="AO10" s="268">
        <f>IF(ISNUMBER((NºAsuntos!C10+NºAsuntos!E10)/NºAsuntos!G10),(NºAsuntos!C10+NºAsuntos!E10)/NºAsuntos!G10," - ")</f>
        <v>7.85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242</v>
      </c>
      <c r="Y12" s="374">
        <f t="shared" si="0"/>
        <v>242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15974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352</v>
      </c>
      <c r="AJ12" s="243" t="str">
        <f>IF(ISNUMBER(Datos!BW12),Datos!BW12," - ")</f>
        <v xml:space="preserve"> - </v>
      </c>
      <c r="AK12" s="242" t="str">
        <f>IF(ISNUMBER(Datos!BX12),Datos!BX12," - ")</f>
        <v xml:space="preserve"> - </v>
      </c>
      <c r="AL12" s="266">
        <f>IF(ISNUMBER(NºAsuntos!G12/NºAsuntos!E12),NºAsuntos!G12/NºAsuntos!E12," - ")</f>
        <v>0.81434108527131788</v>
      </c>
      <c r="AM12" s="284">
        <f>IF(ISNUMBER(((NºAsuntos!I12/NºAsuntos!G12)*11)/factor_trimestre),((NºAsuntos!I12/NºAsuntos!G12)*11)/factor_trimestre," - ")</f>
        <v>17.912898619704904</v>
      </c>
      <c r="AN12" s="267">
        <f>IF(ISNUMBER('Resol  Asuntos'!D12/NºAsuntos!G12),'Resol  Asuntos'!D12/NºAsuntos!G12," - ")</f>
        <v>0.16753926701570682</v>
      </c>
      <c r="AO12" s="268">
        <f>IF(ISNUMBER((NºAsuntos!C12+NºAsuntos!E12)/NºAsuntos!G12),(NºAsuntos!C12+NºAsuntos!E12)/NºAsuntos!G12," - ")</f>
        <v>6.9709662065683009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260</v>
      </c>
      <c r="G14" s="1163">
        <f t="shared" si="5"/>
        <v>277</v>
      </c>
      <c r="H14" s="1162">
        <f t="shared" si="5"/>
        <v>0</v>
      </c>
      <c r="I14" s="1164">
        <f t="shared" si="5"/>
        <v>0</v>
      </c>
      <c r="J14" s="1164">
        <f t="shared" si="5"/>
        <v>0</v>
      </c>
      <c r="K14" s="1164">
        <f t="shared" si="5"/>
        <v>0</v>
      </c>
      <c r="L14" s="1164">
        <f t="shared" si="5"/>
        <v>531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248</v>
      </c>
      <c r="Y14" s="1165">
        <f t="shared" si="6"/>
        <v>288</v>
      </c>
      <c r="Z14" s="1165">
        <f t="shared" si="6"/>
        <v>0</v>
      </c>
      <c r="AA14" s="1165">
        <f t="shared" si="6"/>
        <v>257</v>
      </c>
      <c r="AB14" s="1165">
        <f t="shared" si="6"/>
        <v>16171</v>
      </c>
      <c r="AC14" s="1165">
        <f t="shared" si="6"/>
        <v>454</v>
      </c>
      <c r="AD14" s="1165">
        <f t="shared" si="6"/>
        <v>0</v>
      </c>
      <c r="AE14" s="1169">
        <f t="shared" si="6"/>
        <v>0</v>
      </c>
      <c r="AF14" s="1162">
        <f t="shared" si="6"/>
        <v>0</v>
      </c>
      <c r="AG14" s="1170">
        <f t="shared" si="6"/>
        <v>0</v>
      </c>
      <c r="AH14" s="1167">
        <f t="shared" si="6"/>
        <v>0</v>
      </c>
      <c r="AI14" s="1162">
        <f t="shared" si="6"/>
        <v>378</v>
      </c>
      <c r="AJ14" s="1164">
        <f t="shared" si="6"/>
        <v>0</v>
      </c>
      <c r="AK14" s="1167">
        <f>SUBTOTAL(9,AK9:AK13)</f>
        <v>0</v>
      </c>
      <c r="AL14" s="1171">
        <f>IF(ISNUMBER(NºAsuntos!G14/NºAsuntos!E14),NºAsuntos!G14/NºAsuntos!E14," - ")</f>
        <v>0.81811234237676733</v>
      </c>
      <c r="AM14" s="1171">
        <f>IF(ISNUMBER(((NºAsuntos!I14/NºAsuntos!G14)*11)/factor_trimestre),((NºAsuntos!I14/NºAsuntos!G14)*11)/factor_trimestre," - ")</f>
        <v>17.938346567024755</v>
      </c>
      <c r="AN14" s="1172">
        <f>IF(ISNUMBER('Resol  Asuntos'!D14/NºAsuntos!G14),'Resol  Asuntos'!D14/NºAsuntos!G14," - ")</f>
        <v>0.17655301261092948</v>
      </c>
      <c r="AO14" s="1173">
        <f>IF(ISNUMBER((NºAsuntos!C14+NºAsuntos!E14)/NºAsuntos!G14),(NºAsuntos!C14+NºAsuntos!E14)/NºAsuntos!G14," - ")</f>
        <v>6.987389070527791</v>
      </c>
      <c r="AP14" s="1174" t="str">
        <f t="shared" si="2"/>
        <v xml:space="preserve"> - </v>
      </c>
      <c r="AQ14" s="1174">
        <f>IF(ISNUMBER((H14-W14+K14)/(F14)),(H14-W14+K14)/(F14)," - ")</f>
        <v>-0.15384615384615385</v>
      </c>
      <c r="AR14" s="1175">
        <f>IF(ISNUMBER((Datos!P14-Datos!Q14)/(Datos!R14-Datos!P14+Datos!Q14)),(Datos!P14-Datos!Q14)/(Datos!R14-Datos!P14+Datos!Q14)," - ")</f>
        <v>1.7812185297079557E-2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5315</v>
      </c>
      <c r="G17" s="373">
        <f>IF(ISNUMBER(IF(D_I="SI",Datos!I17,Datos!I17+Datos!AC17)),IF(D_I="SI",Datos!I17,Datos!I17+Datos!AC17)," - ")</f>
        <v>5623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1396</v>
      </c>
      <c r="X17" s="240">
        <f>IF(ISNUMBER(Datos!Q17),Datos!Q17," - ")</f>
        <v>5</v>
      </c>
      <c r="Y17" s="374">
        <f t="shared" ref="Y17:Y22" si="9">SUM(W17:X17)</f>
        <v>1401</v>
      </c>
      <c r="Z17" s="375" t="str">
        <f>IF(ISNUMBER(Datos!CC17),Datos!CC17," - ")</f>
        <v xml:space="preserve"> - </v>
      </c>
      <c r="AA17" s="372">
        <f>IF(ISNUMBER(IF(D_I="SI",Datos!L17,Datos!L17+Datos!AF17)),IF(D_I="SI",Datos!L17,Datos!L17+Datos!AF17)," - ")</f>
        <v>5679</v>
      </c>
      <c r="AB17" s="374">
        <f>IF(ISNUMBER(Datos!R17),Datos!R17," - ")</f>
        <v>345</v>
      </c>
      <c r="AC17" s="374">
        <f t="shared" si="8"/>
        <v>6024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219</v>
      </c>
      <c r="AJ17" s="245" t="str">
        <f>IF(ISNUMBER(Datos!BW17),Datos!BW17," - ")</f>
        <v xml:space="preserve"> - </v>
      </c>
      <c r="AK17" s="246" t="str">
        <f>IF(ISNUMBER(Datos!BX17),Datos!BX17," - ")</f>
        <v xml:space="preserve"> - </v>
      </c>
      <c r="AL17" s="266">
        <f>IF(ISNUMBER(NºAsuntos!G17/NºAsuntos!E17),NºAsuntos!G17/NºAsuntos!E17," - ")</f>
        <v>0.79318181818181821</v>
      </c>
      <c r="AM17" s="284">
        <f>IF(ISNUMBER(((NºAsuntos!I17/NºAsuntos!G17)*11)/factor_trimestre),((NºAsuntos!I17/NºAsuntos!G17)*11)/factor_trimestre," - ")</f>
        <v>12.204154727793696</v>
      </c>
      <c r="AN17" s="267">
        <f>IF(ISNUMBER('Resol  Asuntos'!D17/NºAsuntos!G17),'Resol  Asuntos'!D17/NºAsuntos!G17," - ")</f>
        <v>0.15687679083094555</v>
      </c>
      <c r="AO17" s="268">
        <f>IF(ISNUMBER((NºAsuntos!C17+NºAsuntos!E17)/NºAsuntos!G17),(NºAsuntos!C17+NºAsuntos!E17)/NºAsuntos!G17," - ")</f>
        <v>5.2886819484240686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179</v>
      </c>
      <c r="X18" s="240">
        <f>IF(ISNUMBER(Datos!Q18),Datos!Q18," - ")</f>
        <v>0</v>
      </c>
      <c r="Y18" s="374">
        <f t="shared" si="9"/>
        <v>179</v>
      </c>
      <c r="Z18" s="375" t="str">
        <f>IF(ISNUMBER(Datos!CC18),Datos!CC18," - ")</f>
        <v xml:space="preserve"> - </v>
      </c>
      <c r="AA18" s="372">
        <f>IF(ISNUMBER(Datos!L18),Datos!L18,"-")</f>
        <v>712</v>
      </c>
      <c r="AB18" s="374">
        <f>IF(ISNUMBER(Datos!R18),Datos!R18," - ")</f>
        <v>5</v>
      </c>
      <c r="AC18" s="374">
        <f t="shared" si="8"/>
        <v>717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0.77155172413793105</v>
      </c>
      <c r="AM18" s="284">
        <f>IF(ISNUMBER(((NºAsuntos!I18/NºAsuntos!G18)*11)/factor_trimestre),((NºAsuntos!I18/NºAsuntos!G18)*11)/factor_trimestre," - ")</f>
        <v>11.932960893854748</v>
      </c>
      <c r="AN18" s="267">
        <f>IF(ISNUMBER('Resol  Asuntos'!D18/NºAsuntos!G18),'Resol  Asuntos'!D18/NºAsuntos!G18," - ")</f>
        <v>8.3798882681564241E-2</v>
      </c>
      <c r="AO18" s="268">
        <f>IF(ISNUMBER((NºAsuntos!C18+NºAsuntos!E18)/NºAsuntos!G18),(NºAsuntos!C18+NºAsuntos!E18)/NºAsuntos!G18," - ")</f>
        <v>4.977653631284916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5315</v>
      </c>
      <c r="G23" s="1163">
        <f>SUBTOTAL(9,G16:G22)</f>
        <v>6282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1575</v>
      </c>
      <c r="X23" s="1164">
        <f t="shared" si="14"/>
        <v>5</v>
      </c>
      <c r="Y23" s="1165">
        <f t="shared" si="14"/>
        <v>1580</v>
      </c>
      <c r="Z23" s="1165">
        <f t="shared" si="14"/>
        <v>0</v>
      </c>
      <c r="AA23" s="1165">
        <f t="shared" si="14"/>
        <v>6391</v>
      </c>
      <c r="AB23" s="1165">
        <f t="shared" si="14"/>
        <v>350</v>
      </c>
      <c r="AC23" s="1165">
        <f t="shared" si="14"/>
        <v>6741</v>
      </c>
      <c r="AD23" s="1165">
        <f t="shared" si="14"/>
        <v>0</v>
      </c>
      <c r="AE23" s="1169">
        <f t="shared" si="14"/>
        <v>0</v>
      </c>
      <c r="AF23" s="1162">
        <f t="shared" si="14"/>
        <v>0</v>
      </c>
      <c r="AG23" s="1170">
        <f t="shared" si="14"/>
        <v>0</v>
      </c>
      <c r="AH23" s="1167">
        <f t="shared" si="14"/>
        <v>0</v>
      </c>
      <c r="AI23" s="1162">
        <f t="shared" si="14"/>
        <v>234</v>
      </c>
      <c r="AJ23" s="1164">
        <f t="shared" si="14"/>
        <v>0</v>
      </c>
      <c r="AK23" s="1167">
        <f t="shared" si="14"/>
        <v>0</v>
      </c>
      <c r="AL23" s="1171">
        <f>IF(ISNUMBER(NºAsuntos!G23/NºAsuntos!E23),NºAsuntos!G23/NºAsuntos!E23," - ")</f>
        <v>0.79066265060240959</v>
      </c>
      <c r="AM23" s="1171">
        <f>IF(ISNUMBER(((NºAsuntos!I23/NºAsuntos!G23)*11)/factor_trimestre),((NºAsuntos!I23/NºAsuntos!G23)*11)/factor_trimestre," - ")</f>
        <v>12.173333333333334</v>
      </c>
      <c r="AN23" s="1172">
        <f>IF(ISNUMBER('Resol  Asuntos'!D23/NºAsuntos!G23),'Resol  Asuntos'!D23/NºAsuntos!G23," - ")</f>
        <v>0.14857142857142858</v>
      </c>
      <c r="AO23" s="1173">
        <f>IF(ISNUMBER((NºAsuntos!C23+NºAsuntos!E23)/NºAsuntos!G23),(NºAsuntos!C23+NºAsuntos!E23)/NºAsuntos!G23," - ")</f>
        <v>5.253333333333333</v>
      </c>
      <c r="AP23" s="1174" t="str">
        <f t="shared" si="2"/>
        <v xml:space="preserve"> - </v>
      </c>
      <c r="AQ23" s="1174">
        <f>IF(ISNUMBER((H23-W23+K23)/(F23)),(H23-W23+K23)/(F23)," - ")</f>
        <v>-0.29633113828786456</v>
      </c>
      <c r="AR23" s="1175">
        <f>IF(ISNUMBER((Datos!P23-Datos!Q23)/(Datos!R23-Datos!P23+Datos!Q23)),(Datos!P23-Datos!Q23)/(Datos!R23-Datos!P23+Datos!Q23)," - ")</f>
        <v>8.6455331412103754E-3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5575</v>
      </c>
      <c r="G31" s="1118">
        <f t="shared" si="20"/>
        <v>6559</v>
      </c>
      <c r="H31" s="1117">
        <f t="shared" si="20"/>
        <v>0</v>
      </c>
      <c r="I31" s="1119">
        <f t="shared" si="20"/>
        <v>0</v>
      </c>
      <c r="J31" s="1119">
        <f t="shared" si="20"/>
        <v>0</v>
      </c>
      <c r="K31" s="1180">
        <f t="shared" si="20"/>
        <v>0</v>
      </c>
      <c r="L31" s="1119">
        <f t="shared" si="20"/>
        <v>539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1615</v>
      </c>
      <c r="X31" s="1118">
        <f t="shared" si="21"/>
        <v>253</v>
      </c>
      <c r="Y31" s="1125">
        <f t="shared" si="21"/>
        <v>1868</v>
      </c>
      <c r="Z31" s="1125">
        <f t="shared" si="21"/>
        <v>0</v>
      </c>
      <c r="AA31" s="1125">
        <f t="shared" si="21"/>
        <v>6648</v>
      </c>
      <c r="AB31" s="1125">
        <f t="shared" si="21"/>
        <v>16521</v>
      </c>
      <c r="AC31" s="1125">
        <f t="shared" si="21"/>
        <v>7195</v>
      </c>
      <c r="AD31" s="1125">
        <f t="shared" si="21"/>
        <v>0</v>
      </c>
      <c r="AE31" s="1127">
        <f t="shared" si="21"/>
        <v>0</v>
      </c>
      <c r="AF31" s="1128">
        <f t="shared" si="21"/>
        <v>0</v>
      </c>
      <c r="AG31" s="1129">
        <f t="shared" si="21"/>
        <v>0</v>
      </c>
      <c r="AH31" s="1127">
        <f t="shared" si="21"/>
        <v>0</v>
      </c>
      <c r="AI31" s="1117">
        <f t="shared" si="21"/>
        <v>612</v>
      </c>
      <c r="AJ31" s="1117">
        <f t="shared" si="21"/>
        <v>0</v>
      </c>
      <c r="AK31" s="1127">
        <f t="shared" si="21"/>
        <v>0</v>
      </c>
      <c r="AL31" s="1183">
        <f>IF(ISNUMBER(NºAsuntos!G31/NºAsuntos!E31),NºAsuntos!G31/NºAsuntos!E31," - ")</f>
        <v>0.80624864395747453</v>
      </c>
      <c r="AM31" s="1184">
        <f>IF(ISNUMBER(((NºAsuntos!I31/NºAsuntos!G31)*11)/factor_trimestre),((NºAsuntos!I31/NºAsuntos!G31)*11)/factor_trimestre," - ")</f>
        <v>15.494886975242197</v>
      </c>
      <c r="AN31" s="1184">
        <f>IF(ISNUMBER('Resol  Asuntos'!D31/NºAsuntos!G31),'Resol  Asuntos'!D31/NºAsuntos!G31," - ")</f>
        <v>0.16469321851453175</v>
      </c>
      <c r="AO31" s="1185">
        <f>IF(ISNUMBER((NºAsuntos!C31+NºAsuntos!E31)/NºAsuntos!G31),(NºAsuntos!C31+NºAsuntos!E31)/NºAsuntos!G31," - ")</f>
        <v>6.2524219590958019</v>
      </c>
      <c r="AP31" s="1186" t="str">
        <f t="shared" si="2"/>
        <v xml:space="preserve"> - </v>
      </c>
      <c r="AQ31" s="1187">
        <f>IF(OR(ISNUMBER(FIND("01",Criterios!A8,1)),ISNUMBER(FIND("02",Criterios!A8,1)),ISNUMBER(FIND("03",Criterios!A8,1)),ISNUMBER(FIND("04",Criterios!A8,1))),(I31-W31+K31)/(F31-K31),(H31-W31+K31)/(F31-K31))</f>
        <v>-0.28968609865470851</v>
      </c>
      <c r="AR31" s="1188">
        <f>IF(ISNUMBER((Datos!P31-Datos!Q31)/(Datos!R31-Datos!P31+Datos!Q31)),(Datos!P31-Datos!Q31)/(Datos!R31-Datos!P31+Datos!Q31)," - ")</f>
        <v>1.7616261164151523E-2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1874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2680.0460195053865</v>
      </c>
      <c r="G33" s="277">
        <f>IF(ISNUMBER(STDEV(G8:G30)),STDEV(G8:G30),"-")</f>
        <v>2801.3764473915317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704.06767126057264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161.74671557716403</v>
      </c>
      <c r="AJ33" s="276">
        <f t="shared" si="25"/>
        <v>0</v>
      </c>
      <c r="AK33" s="278">
        <f t="shared" si="25"/>
        <v>0</v>
      </c>
      <c r="AL33" s="273">
        <f t="shared" si="25"/>
        <v>0.11698659940038671</v>
      </c>
      <c r="AM33" s="274">
        <f t="shared" si="25"/>
        <v>3.471714072798636</v>
      </c>
      <c r="AN33" s="274">
        <f t="shared" si="25"/>
        <v>0.20809058014084761</v>
      </c>
      <c r="AO33" s="275">
        <f t="shared" si="25"/>
        <v>1.1962397548315387</v>
      </c>
      <c r="AP33" s="317" t="str">
        <f t="shared" si="25"/>
        <v>-</v>
      </c>
      <c r="AQ33" s="318">
        <f t="shared" si="25"/>
        <v>0.10075209871599336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rqk1ginvulGfeQUHPdBmqZckDEGZPjyk5LSiHuH6BnaUq2p0mkBnpBK4fLokDDymac9sXDbIoY8k+DyRqyKEg==" saltValue="pE6AlJSiEtL1VvRAw6GP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ILLESCAS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0.30046948356807512</v>
      </c>
      <c r="E10" s="393">
        <f>IF(ISNUMBER((Datos!J10-Datos!T10)/Datos!T10),(Datos!J10-Datos!T10)/Datos!T10," - ")</f>
        <v>-0.421875</v>
      </c>
      <c r="F10" s="393">
        <f>IF(ISNUMBER((Datos!K10-Datos!U10)/Datos!U10),(Datos!K10-Datos!U10)/Datos!U10," - ")</f>
        <v>-9.0909090909090912E-2</v>
      </c>
      <c r="G10" s="394">
        <f>IF(ISNUMBER((Datos!L10-Datos!V10)/Datos!V10),(Datos!L10-Datos!V10)/Datos!V10," - ")</f>
        <v>0.10300429184549356</v>
      </c>
      <c r="H10" s="244">
        <f>IF(ISNUMBER((Datos!M10-Datos!W10)/Datos!W10),(Datos!M10-Datos!W10)/Datos!W10," - ")</f>
        <v>0</v>
      </c>
      <c r="I10" s="395">
        <f>IF(ISNUMBER((Tasas!C10-Datos!BE10)/Datos!BE10),(Tasas!C10-Datos!BE10)/Datos!BE10," - ")</f>
        <v>0.2133047210300428</v>
      </c>
      <c r="J10" s="394">
        <f>IF(ISNUMBER((Tasas!D10-Datos!BF10)/Datos!BF10),(Tasas!D10-Datos!BF10)/Datos!BF10," - ")</f>
        <v>9.9999999999999978E-2</v>
      </c>
      <c r="K10" s="396">
        <f>IF(ISNUMBER((Tasas!E10-Datos!BG10)/Datos!BG10),(Tasas!E10-Datos!BG10)/Datos!BG10," - ")</f>
        <v>0.24693140794223814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1.1494252873563218E-2</v>
      </c>
      <c r="I12" s="395">
        <f>IF(ISNUMBER((Tasas!C12-Datos!BE12)/Datos!BE12),(Tasas!C12-Datos!BE12)/Datos!BE12," - ")</f>
        <v>0.22262641372589023</v>
      </c>
      <c r="J12" s="394">
        <f>IF(ISNUMBER((Tasas!D12-Datos!BF12)/Datos!BF12),(Tasas!D12-Datos!BF12)/Datos!BF12," - ")</f>
        <v>-0.5665101486670967</v>
      </c>
      <c r="K12" s="396">
        <f>IF(ISNUMBER((Tasas!E12-Datos!BG12)/Datos!BG12),(Tasas!E12-Datos!BG12)/Datos!BG12," - ")</f>
        <v>0.18691099925165933</v>
      </c>
      <c r="M12" t="e">
        <f>IF(Monitorios="SI",Datos!CE12,0)</f>
        <v>#REF!</v>
      </c>
      <c r="N12" t="e">
        <f>IF(Monitorios="SI",Datos!CF12,0)</f>
        <v>#REF!</v>
      </c>
      <c r="O12" t="e">
        <f>IF(Monitorios="SI",Datos!CG12,0)</f>
        <v>#REF!</v>
      </c>
      <c r="P12" t="e">
        <f>IF(Monitorios="SI",Datos!CH12,0)</f>
        <v>#REF!</v>
      </c>
      <c r="Q12">
        <f>IF(J_V="SI",0,Datos!AG12)</f>
        <v>221</v>
      </c>
      <c r="R12">
        <f>IF(J_V="SI",0,Datos!AH12)</f>
        <v>184</v>
      </c>
      <c r="S12">
        <f>IF(J_V="SI",0,Datos!AI12)</f>
        <v>112</v>
      </c>
      <c r="T12">
        <f>IF(J_V="SI",0,Datos!AJ12)</f>
        <v>293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1.06951871657754E-2</v>
      </c>
      <c r="I14" s="402">
        <f>IF(ISNUMBER((Tasas!C14-Datos!BE14)/Datos!BE14),(Tasas!C14-Datos!BE14)/Datos!BE14," - ")</f>
        <v>0.22191322025832294</v>
      </c>
      <c r="J14" s="400">
        <f>IF(ISNUMBER((Tasas!D14-Datos!BF14)/Datos!BF14),(Tasas!D14-Datos!BF14)/Datos!BF14," - ")</f>
        <v>-0.54886315838367461</v>
      </c>
      <c r="K14" s="403">
        <f>IF(ISNUMBER((Tasas!E14-Datos!BG14)/Datos!BG14),(Tasas!E14-Datos!BG14)/Datos!BG14," - ")</f>
        <v>0.18767638556380123</v>
      </c>
      <c r="M14" t="e">
        <f>IF(Monitorios="SI",Datos!CE14,0)</f>
        <v>#REF!</v>
      </c>
      <c r="N14" t="e">
        <f>IF(Monitorios="SI",Datos!CF14,0)</f>
        <v>#REF!</v>
      </c>
      <c r="O14" t="e">
        <f>IF(Monitorios="SI",Datos!CG14,0)</f>
        <v>#REF!</v>
      </c>
      <c r="P14" t="e">
        <f>IF(Monitorios="SI",Datos!CH14,0)</f>
        <v>#REF!</v>
      </c>
      <c r="Q14">
        <f>IF(J_V="SI",0,Datos!AG14)</f>
        <v>221</v>
      </c>
      <c r="R14">
        <f>IF(J_V="SI",0,Datos!AH14)</f>
        <v>184</v>
      </c>
      <c r="S14">
        <f>IF(J_V="SI",0,Datos!AI14)</f>
        <v>112</v>
      </c>
      <c r="T14">
        <f>IF(J_V="SI",0,Datos!AJ14)</f>
        <v>293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0.22826561817387506</v>
      </c>
      <c r="E17" s="393">
        <f>IF(ISNUMBER(
   IF(D_I="SI",(Datos!J17-Datos!T17)/Datos!T17,(Datos!J17+Datos!AD17-(Datos!T17+Datos!AL17))/(Datos!T17+Datos!AL17))
     ),IF(D_I="SI",(Datos!J17-Datos!T17)/Datos!T17,(Datos!J17+Datos!AD17-(Datos!T17+Datos!AL17))/(Datos!T17+Datos!AL17))," - ")</f>
        <v>-0.1151332327802916</v>
      </c>
      <c r="F17" s="393">
        <f>IF(ISNUMBER(
   IF(D_I="SI",(Datos!K17-Datos!U17)/Datos!U17,(Datos!K17+Datos!AE17-(Datos!U17+Datos!AM17))/(Datos!U17+Datos!AM17))
     ),IF(D_I="SI",(Datos!K17-Datos!U17)/Datos!U17,(Datos!K17+Datos!AE17-(Datos!U17+Datos!AM17))/(Datos!U17+Datos!AM17))," - ")</f>
        <v>-0.19399538106235567</v>
      </c>
      <c r="G17" s="394">
        <f>IF(ISNUMBER(
   IF(D_I="SI",(Datos!L17-Datos!V17)/Datos!V17,(Datos!L17+Datos!AF17-(Datos!V17+Datos!AN17))/(Datos!V17+Datos!AN17))
     ),IF(D_I="SI",(Datos!L17-Datos!V17)/Datos!V17,(Datos!L17+Datos!AF17-(Datos!V17+Datos!AN17))/(Datos!V17+Datos!AN17))," - ")</f>
        <v>0.17699481865284974</v>
      </c>
      <c r="H17" s="244">
        <f>IF(ISNUMBER((Datos!M17-Datos!W17)/Datos!W17),(Datos!M17-Datos!W17)/Datos!W17," - ")</f>
        <v>9.2165898617511521E-3</v>
      </c>
      <c r="I17" s="395">
        <f>IF(ISNUMBER((Tasas!C17-Datos!BE17)/Datos!BE17),(Tasas!C17-Datos!BE17)/Datos!BE17," - ")</f>
        <v>0.46028296984723194</v>
      </c>
      <c r="J17" s="394">
        <f>IF(ISNUMBER((Tasas!D17-Datos!BF17)/Datos!BF17),(Tasas!D17-Datos!BF17)/Datos!BF17," - ")</f>
        <v>0.25212258856773123</v>
      </c>
      <c r="K17" s="396">
        <f>IF(ISNUMBER((Tasas!E17-Datos!BG17)/Datos!BG17),(Tasas!E17-Datos!BG17)/Datos!BG17," - ")</f>
        <v>0.39485261682206285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1.3846153846153847E-2</v>
      </c>
      <c r="E18" s="393">
        <f>IF(ISNUMBER(
   IF(D_I="SI",(Datos!J18-Datos!T18)/Datos!T18,(Datos!J18+Datos!AD18-(Datos!T18+Datos!AL18))/(Datos!T18+Datos!AL18))
     ),IF(D_I="SI",(Datos!J18-Datos!T18)/Datos!T18,(Datos!J18+Datos!AD18-(Datos!T18+Datos!AL18))/(Datos!T18+Datos!AL18))," - ")</f>
        <v>-2.9288702928870293E-2</v>
      </c>
      <c r="F18" s="393">
        <f>IF(ISNUMBER(
   IF(D_I="SI",(Datos!K18-Datos!U18)/Datos!U18,(Datos!K18+Datos!AE18-(Datos!U18+Datos!AM18))/(Datos!U18+Datos!AM18))
     ),IF(D_I="SI",(Datos!K18-Datos!U18)/Datos!U18,(Datos!K18+Datos!AE18-(Datos!U18+Datos!AM18))/(Datos!U18+Datos!AM18))," - ")</f>
        <v>-0.28685258964143429</v>
      </c>
      <c r="G18" s="394">
        <f>IF(ISNUMBER(
   IF(D_I="SI",(Datos!L18-Datos!V18)/Datos!V18,(Datos!L18+Datos!AF18-(Datos!V18+Datos!AN18))/(Datos!V18+Datos!AN18))
     ),IF(D_I="SI",(Datos!L18-Datos!V18)/Datos!V18,(Datos!L18+Datos!AF18-(Datos!V18+Datos!AN18))/(Datos!V18+Datos!AN18))," - ")</f>
        <v>0.11598746081504702</v>
      </c>
      <c r="H18" s="244">
        <f>IF(ISNUMBER((Datos!M18-Datos!W18)/Datos!W18),(Datos!M18-Datos!W18)/Datos!W18," - ")</f>
        <v>0</v>
      </c>
      <c r="I18" s="395">
        <f>IF(ISNUMBER((Tasas!C18-Datos!BE18)/Datos!BE18),(Tasas!C18-Datos!BE18)/Datos!BE18," - ")</f>
        <v>0.56487627186914413</v>
      </c>
      <c r="J18" s="394">
        <f>IF(ISNUMBER((Tasas!D18-Datos!BF18)/Datos!BF18),(Tasas!D18-Datos!BF18)/Datos!BF18," - ")</f>
        <v>0.40223463687150823</v>
      </c>
      <c r="K18" s="396">
        <f>IF(ISNUMBER((Tasas!E18-Datos!BG18)/Datos!BG18),(Tasas!E18-Datos!BG18)/Datos!BG18," - ")</f>
        <v>0.40538927047526874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0.20160673297628157</v>
      </c>
      <c r="E23" s="399">
        <f>IF(ISNUMBER(
   IF(D_I="SI",(Datos!J23-Datos!T23)/Datos!T23,(Datos!J23+Datos!AD23-(Datos!T23+Datos!AL23))/(Datos!T23+Datos!AL23))
     ),IF(D_I="SI",(Datos!J23-Datos!T23)/Datos!T23,(Datos!J23+Datos!AD23-(Datos!T23+Datos!AL23))/(Datos!T23+Datos!AL23))," - ")</f>
        <v>-0.1059245960502693</v>
      </c>
      <c r="F23" s="399">
        <f>IF(ISNUMBER(
   IF(D_I="SI",(Datos!K23-Datos!U23)/Datos!U23,(Datos!K23+Datos!AE23-(Datos!U23+Datos!AM23))/(Datos!U23+Datos!AM23))
     ),IF(D_I="SI",(Datos!K23-Datos!U23)/Datos!U23,(Datos!K23+Datos!AE23-(Datos!U23+Datos!AM23))/(Datos!U23+Datos!AM23))," - ")</f>
        <v>-0.20574886535552195</v>
      </c>
      <c r="G23" s="400">
        <f>IF(ISNUMBER(
   IF(D_I="SI",(Datos!L23-Datos!V23)/Datos!V23,(Datos!L23+Datos!AF23-(Datos!V23+Datos!AN23))/(Datos!V23+Datos!AN23))
     ),IF(D_I="SI",(Datos!L23-Datos!V23)/Datos!V23,(Datos!L23+Datos!AF23-(Datos!V23+Datos!AN23))/(Datos!V23+Datos!AN23))," - ")</f>
        <v>0.16987003477942522</v>
      </c>
      <c r="H23" s="401">
        <f>IF(ISNUMBER((Datos!M23-Datos!W23)/Datos!W23),(Datos!M23-Datos!W23)/Datos!W23," - ")</f>
        <v>8.6206896551724137E-3</v>
      </c>
      <c r="I23" s="402">
        <f>IF(ISNUMBER((Tasas!C23-Datos!BE23)/Datos!BE23),(Tasas!C23-Datos!BE23)/Datos!BE23," - ")</f>
        <v>0.47292208188419077</v>
      </c>
      <c r="J23" s="400">
        <f>IF(ISNUMBER((Tasas!D23-Datos!BF23)/Datos!BF23),(Tasas!D23-Datos!BF23)/Datos!BF23," - ")</f>
        <v>0.26990147783251228</v>
      </c>
      <c r="K23" s="403">
        <f>IF(ISNUMBER((Tasas!E23-Datos!BG23)/Datos!BG23),(Tasas!E23-Datos!BG23)/Datos!BG23," - ")</f>
        <v>0.39717811158798277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0.36847905951506243</v>
      </c>
      <c r="E31" s="409">
        <f>IF(ISNUMBER(
   IF(J_V="SI",(Datos!J31-Datos!T31)/Datos!T31,(Datos!J31+Datos!Z31-(Datos!T31+Datos!AH31))/(Datos!T31+Datos!AH31))
     ),IF(J_V="SI",(Datos!J31-Datos!T31)/Datos!T31,(Datos!J31+Datos!Z31-(Datos!T31+Datos!AH31))/(Datos!T31+Datos!AH31))," - ")</f>
        <v>-2.5581395348837209E-2</v>
      </c>
      <c r="F31" s="409">
        <f>IF(ISNUMBER(
   IF(J_V="SI",(Datos!K31-Datos!U31)/Datos!U31,(Datos!K31+Datos!AA31-(Datos!U31+Datos!AI31))/(Datos!U31+Datos!AI31))
     ),IF(J_V="SI",(Datos!K31-Datos!U31)/Datos!U31,(Datos!K31+Datos!AA31-(Datos!U31+Datos!AI31))/(Datos!U31+Datos!AI31))," - ")</f>
        <v>-3.0524393425515262E-2</v>
      </c>
      <c r="G31" s="410">
        <f>IF(ISNUMBER(
   IF(J_V="SI",(Datos!L31-Datos!V31)/Datos!V31,(Datos!L31+Datos!AB31-(Datos!V31+Datos!AJ31))/(Datos!V31+Datos!AJ31))
     ),IF(J_V="SI",(Datos!L31-Datos!V31)/Datos!V31,(Datos!L31+Datos!AB31-(Datos!V31+Datos!AJ31))/(Datos!V31+Datos!AJ31))," - ")</f>
        <v>0.32219619729953153</v>
      </c>
      <c r="H31" s="411">
        <f>IF(ISNUMBER((Datos!M31-Datos!W31)/Datos!W31),(Datos!M31-Datos!W31)/Datos!W31," - ")</f>
        <v>9.9009900990099011E-3</v>
      </c>
      <c r="I31" s="408">
        <f>IF(ISNUMBER((Tasas!C31-Datos!BE31)/Datos!BE31),(Tasas!C31-Datos!BE31)/Datos!BE31," - ")</f>
        <v>0.36382616368382803</v>
      </c>
      <c r="J31" s="409">
        <f>IF(ISNUMBER((Tasas!D31-Datos!BF31)/Datos!BF31),(Tasas!D31-Datos!BF31)/Datos!BF31," - ")</f>
        <v>-0.33967666677175712</v>
      </c>
      <c r="K31" s="410">
        <f>IF(ISNUMBER((Tasas!E31-Datos!BG31)/Datos!BG31),(Tasas!E31-Datos!BG31)/Datos!BG31," - ")</f>
        <v>0.30673573441735041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0.12216130480201384</v>
      </c>
      <c r="E33" s="303">
        <f t="shared" si="1"/>
        <v>0.17353345320413979</v>
      </c>
      <c r="F33" s="303">
        <f t="shared" si="1"/>
        <v>8.0388240941029268E-2</v>
      </c>
      <c r="G33" s="304">
        <f t="shared" si="1"/>
        <v>3.7405637213803446E-2</v>
      </c>
      <c r="H33" s="310">
        <f t="shared" si="1"/>
        <v>5.2677063326835184E-3</v>
      </c>
      <c r="I33" s="302">
        <f t="shared" si="1"/>
        <v>0.15763156823954541</v>
      </c>
      <c r="J33" s="303">
        <f t="shared" si="1"/>
        <v>0.43104667508399575</v>
      </c>
      <c r="K33" s="304">
        <f t="shared" si="1"/>
        <v>0.10743343510864981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5g8kszRILhGpcu9kj5PYFpA2nlJa+VaKxk2Bvo6/vv158cEEBMkY+5m21dAq8p6OXH+BqAImvB1+w5Ivwpikw==" saltValue="Hn7HYcs6e9E7QfUYEYq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